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workbookProtection workbookPassword="FD78" lockStructure="1"/>
  <bookViews>
    <workbookView xWindow="0" yWindow="0" windowWidth="16600" windowHeight="18120"/>
  </bookViews>
  <sheets>
    <sheet name="Sheet1" sheetId="1" r:id="rId1"/>
    <sheet name="Data" sheetId="2" state="hidden" r:id="rId2"/>
    <sheet name="Sheet3" sheetId="3" state="hidden" r:id="rId3"/>
  </sheets>
  <definedNames>
    <definedName name="_xlnm.Print_Area" localSheetId="0">Sheet1!$A$1:$H$55</definedName>
    <definedName name="Sheet2">Sheet1!$B$5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9" i="2" l="1"/>
  <c r="F29" i="2"/>
  <c r="J29" i="2"/>
  <c r="K29" i="2"/>
  <c r="O29" i="2"/>
  <c r="Q29" i="2"/>
  <c r="G51" i="1"/>
  <c r="G46" i="1"/>
  <c r="H29" i="2"/>
  <c r="G29" i="2"/>
  <c r="M29" i="2"/>
  <c r="D7" i="1"/>
  <c r="D22" i="1"/>
  <c r="H42" i="2"/>
  <c r="B42" i="2"/>
  <c r="I42" i="2"/>
  <c r="A9" i="2"/>
  <c r="D21" i="1"/>
  <c r="A21" i="2"/>
  <c r="A19" i="2"/>
  <c r="P29" i="2"/>
  <c r="V34" i="1"/>
  <c r="V29" i="1"/>
  <c r="V30" i="1"/>
  <c r="V31" i="1"/>
  <c r="V32" i="1"/>
  <c r="V33" i="1"/>
  <c r="M42" i="2"/>
  <c r="G42" i="2"/>
  <c r="B35" i="2"/>
  <c r="C35" i="2"/>
  <c r="D35" i="2"/>
  <c r="G50" i="1"/>
  <c r="G52" i="1"/>
  <c r="G53" i="1"/>
  <c r="B36" i="2"/>
  <c r="C36" i="2"/>
  <c r="D36" i="2"/>
  <c r="B37" i="2"/>
  <c r="C37" i="2"/>
  <c r="D37" i="2"/>
  <c r="B38" i="2"/>
  <c r="C38" i="2"/>
  <c r="D38" i="2"/>
  <c r="L4" i="2"/>
  <c r="I4" i="2"/>
  <c r="I5" i="2"/>
  <c r="A10" i="2"/>
  <c r="G45" i="1"/>
  <c r="A12" i="2"/>
  <c r="A11" i="2"/>
  <c r="J42" i="2"/>
  <c r="K42" i="2"/>
  <c r="B19" i="2"/>
  <c r="E22" i="1"/>
  <c r="B21" i="2"/>
  <c r="F21" i="2"/>
  <c r="H19" i="2"/>
  <c r="K19" i="2"/>
  <c r="N19" i="2"/>
  <c r="M19" i="2"/>
  <c r="I19" i="2"/>
  <c r="G19" i="2"/>
  <c r="C19" i="2"/>
  <c r="L19" i="2"/>
  <c r="D19" i="2"/>
  <c r="J19" i="2"/>
  <c r="E19" i="2"/>
  <c r="F19" i="2"/>
  <c r="D21" i="2"/>
  <c r="D20" i="2"/>
  <c r="H21" i="2"/>
  <c r="H20" i="2"/>
  <c r="M21" i="2"/>
  <c r="M20" i="2"/>
  <c r="I21" i="2"/>
  <c r="I20" i="2"/>
  <c r="C21" i="2"/>
  <c r="C20" i="2"/>
  <c r="F20" i="2"/>
  <c r="K21" i="2"/>
  <c r="K20" i="2"/>
  <c r="G47" i="1"/>
  <c r="G48" i="1"/>
  <c r="F11" i="1"/>
  <c r="G21" i="2"/>
  <c r="G20" i="2"/>
  <c r="B20" i="2"/>
  <c r="N21" i="2"/>
  <c r="N20" i="2"/>
  <c r="L21" i="2"/>
  <c r="L20" i="2"/>
  <c r="E21" i="2"/>
  <c r="E20" i="2"/>
  <c r="J21" i="2"/>
  <c r="J20" i="2"/>
</calcChain>
</file>

<file path=xl/sharedStrings.xml><?xml version="1.0" encoding="utf-8"?>
<sst xmlns="http://schemas.openxmlformats.org/spreadsheetml/2006/main" count="114" uniqueCount="96">
  <si>
    <t>Enter Pool Size</t>
  </si>
  <si>
    <t>Select electricity Cost (Cents per kWhr)</t>
  </si>
  <si>
    <t>hp</t>
  </si>
  <si>
    <t>Litres per minute</t>
  </si>
  <si>
    <t>kW/hour</t>
  </si>
  <si>
    <t>cents per hour P300 operating costs</t>
  </si>
  <si>
    <t>P300 hours per day</t>
  </si>
  <si>
    <t>Annual Saving based on your current operating hours</t>
  </si>
  <si>
    <t>Average Length</t>
  </si>
  <si>
    <t>Average Width</t>
  </si>
  <si>
    <t>Average Depth</t>
  </si>
  <si>
    <t>Total Litres</t>
  </si>
  <si>
    <t>litres</t>
  </si>
  <si>
    <t>Step 1</t>
  </si>
  <si>
    <t>Step 2</t>
  </si>
  <si>
    <t>Step 3</t>
  </si>
  <si>
    <t>Step 4</t>
  </si>
  <si>
    <t>Enter the hours your current pump operates each day</t>
  </si>
  <si>
    <t>CO2 at 1.1kg/kw hr</t>
  </si>
  <si>
    <t>kW/day</t>
  </si>
  <si>
    <t>current pump</t>
  </si>
  <si>
    <t>Annual CO2 emissions from Conventional Pump</t>
  </si>
  <si>
    <t>****</t>
  </si>
  <si>
    <t>Annual Greenhouse Gas Reduction</t>
  </si>
  <si>
    <t>kgs</t>
  </si>
  <si>
    <t>Notes:</t>
  </si>
  <si>
    <t>Based on emissions from power produced by coal fired power plants</t>
  </si>
  <si>
    <t>SAVING!</t>
  </si>
  <si>
    <t>Monthly Saving based on your NEW operating hours</t>
  </si>
  <si>
    <t>Annual Carbon Balloon Reduction (50gms of CO2 per balloon)</t>
  </si>
  <si>
    <t>balloons</t>
  </si>
  <si>
    <t>For sufficient chlorination and circulation, pump will usually need to operate for 8hrs /day</t>
  </si>
  <si>
    <t>Step 5</t>
  </si>
  <si>
    <t>Eco</t>
  </si>
  <si>
    <t>Cleaning</t>
  </si>
  <si>
    <t>Turbo</t>
  </si>
  <si>
    <t>Speed</t>
  </si>
  <si>
    <t>RPM</t>
  </si>
  <si>
    <t>L/min</t>
  </si>
  <si>
    <t>l/hr</t>
  </si>
  <si>
    <t>kW/hr</t>
  </si>
  <si>
    <t>p.a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</si>
  <si>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</si>
  <si>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</si>
  <si>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</si>
  <si>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</si>
  <si>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</si>
  <si>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</si>
  <si>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</si>
  <si>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</si>
  <si>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</si>
  <si>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</si>
  <si>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</si>
  <si>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</si>
  <si>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Summer</t>
  </si>
  <si>
    <t>Winter</t>
  </si>
  <si>
    <t>Current complete water turnovers each day (summer)</t>
  </si>
  <si>
    <t>Model</t>
  </si>
  <si>
    <t>Model check</t>
  </si>
  <si>
    <t>Factor</t>
  </si>
  <si>
    <t>High</t>
  </si>
  <si>
    <t>Low</t>
  </si>
  <si>
    <t>Speed check</t>
  </si>
  <si>
    <t>Result</t>
  </si>
  <si>
    <t>Watts</t>
  </si>
  <si>
    <t>Annual CO2 emissions from Viron eVo Pump</t>
  </si>
  <si>
    <t>Estimated Annual Power cost of your current pump</t>
  </si>
  <si>
    <t>Select your current size pump (horse power)</t>
  </si>
  <si>
    <t>* Factory Pre Set Speeds are user adjustable to suit the individual pool</t>
  </si>
  <si>
    <t>Sys. Min</t>
  </si>
  <si>
    <t>Sys. Max</t>
  </si>
  <si>
    <t>Defaults</t>
  </si>
  <si>
    <t>Personal</t>
  </si>
  <si>
    <t>Selected Speed</t>
  </si>
  <si>
    <t>Default selected</t>
  </si>
  <si>
    <t>ref.</t>
  </si>
  <si>
    <t>Max Pump Flow</t>
  </si>
  <si>
    <t>Selected Ltrs/min</t>
  </si>
  <si>
    <t>Selected kW/hr</t>
  </si>
  <si>
    <t>Max. Pump Watts</t>
  </si>
  <si>
    <t>CO2 at 1.1kg/kw/yr</t>
  </si>
  <si>
    <t>Selected Watts/hr</t>
  </si>
  <si>
    <t>Annual cost</t>
  </si>
  <si>
    <t>diff.</t>
  </si>
  <si>
    <t>NEW</t>
  </si>
  <si>
    <t>OLD</t>
  </si>
  <si>
    <t>eCombi EEV2 Pump Energy Saving Guide</t>
  </si>
  <si>
    <t>eCombi EEV2 Energy Efficient Pool Pump</t>
  </si>
  <si>
    <t>EEV2 Water Turnovers each day (summer)</t>
  </si>
  <si>
    <t>Select operating speed</t>
  </si>
  <si>
    <t>eCombi EEV2 Pump</t>
  </si>
  <si>
    <t>Step 6</t>
  </si>
  <si>
    <t>eCombi EEV2 Pool Pump</t>
  </si>
  <si>
    <t>high</t>
  </si>
  <si>
    <t>EEV2 Pump</t>
  </si>
  <si>
    <t>EEV2Pump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</si>
</sst>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0.000"/>
    <numFmt numFmtId="166" formatCode="0.0"/>
    <numFmt numFmtId="167" formatCode="_-* #,##0_-;\-* #,##0_-;_-* &quot;-&quot;??_-;_-@_-"/>
    <numFmt numFmtId="168" formatCode="_-* #,##0.000_-;\-* #,##0.000_-;_-* &quot;-&quot;??_-;_-@_-"/>
    <numFmt numFmtId="169" formatCode="_-* #,##0.0000_-;\-* #,##0.0000_-;_-* &quot;-&quot;??_-;_-@_-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u/>
      <sz val="10"/>
      <color theme="11"/>
      <name val="Arial"/>
    </font>
    <font>
      <b/>
      <sz val="12"/>
      <name val="Arial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63">
    <xf numFmtId="0" fontId="0" fillId="0" borderId="0" xfId="0"/>
    <xf numFmtId="0" fontId="0" fillId="2" borderId="0" xfId="0" applyFill="1"/>
    <xf numFmtId="0" fontId="0" fillId="3" borderId="0" xfId="0" applyFill="1"/>
    <xf numFmtId="0" fontId="3" fillId="3" borderId="0" xfId="0" applyFont="1" applyFill="1"/>
    <xf numFmtId="0" fontId="0" fillId="0" borderId="0" xfId="0" applyFill="1"/>
    <xf numFmtId="0" fontId="0" fillId="2" borderId="0" xfId="0" applyFill="1" applyBorder="1"/>
    <xf numFmtId="0" fontId="1" fillId="2" borderId="0" xfId="0" applyFont="1" applyFill="1"/>
    <xf numFmtId="0" fontId="3" fillId="0" borderId="0" xfId="0" applyFont="1" applyFill="1"/>
    <xf numFmtId="0" fontId="4" fillId="2" borderId="0" xfId="0" applyFont="1" applyFill="1"/>
    <xf numFmtId="0" fontId="5" fillId="0" borderId="0" xfId="3" applyFont="1" applyAlignment="1" applyProtection="1">
      <alignment wrapText="1"/>
    </xf>
    <xf numFmtId="0" fontId="6" fillId="0" borderId="0" xfId="0" applyFont="1" applyFill="1" applyAlignment="1"/>
    <xf numFmtId="0" fontId="0" fillId="0" borderId="0" xfId="0" applyNumberFormat="1"/>
    <xf numFmtId="0" fontId="5" fillId="0" borderId="0" xfId="3" applyNumberFormat="1" applyFont="1" applyAlignment="1" applyProtection="1">
      <alignment wrapText="1"/>
    </xf>
    <xf numFmtId="0" fontId="7" fillId="3" borderId="0" xfId="0" applyFont="1" applyFill="1"/>
    <xf numFmtId="0" fontId="3" fillId="3" borderId="0" xfId="0" applyFont="1" applyFill="1" applyAlignment="1"/>
    <xf numFmtId="0" fontId="1" fillId="0" borderId="0" xfId="0" applyFont="1"/>
    <xf numFmtId="44" fontId="7" fillId="4" borderId="0" xfId="2" applyFont="1" applyFill="1"/>
    <xf numFmtId="0" fontId="0" fillId="2" borderId="0" xfId="0" applyFill="1" applyAlignment="1">
      <alignment horizontal="left"/>
    </xf>
    <xf numFmtId="0" fontId="3" fillId="4" borderId="0" xfId="2" applyNumberFormat="1" applyFont="1" applyFill="1"/>
    <xf numFmtId="0" fontId="3" fillId="4" borderId="0" xfId="0" applyFont="1" applyFill="1"/>
    <xf numFmtId="1" fontId="3" fillId="4" borderId="0" xfId="0" applyNumberFormat="1" applyFont="1" applyFill="1"/>
    <xf numFmtId="167" fontId="7" fillId="4" borderId="1" xfId="1" applyNumberFormat="1" applyFont="1" applyFill="1" applyBorder="1"/>
    <xf numFmtId="0" fontId="0" fillId="5" borderId="1" xfId="0" applyFill="1" applyBorder="1" applyProtection="1">
      <protection locked="0"/>
    </xf>
    <xf numFmtId="0" fontId="0" fillId="6" borderId="1" xfId="0" applyFill="1" applyBorder="1" applyProtection="1">
      <protection locked="0"/>
    </xf>
    <xf numFmtId="44" fontId="3" fillId="3" borderId="0" xfId="0" applyNumberFormat="1" applyFont="1" applyFill="1"/>
    <xf numFmtId="44" fontId="8" fillId="3" borderId="0" xfId="2" applyFont="1" applyFill="1"/>
    <xf numFmtId="0" fontId="10" fillId="3" borderId="0" xfId="0" applyFont="1" applyFill="1" applyAlignment="1">
      <alignment vertical="center"/>
    </xf>
    <xf numFmtId="0" fontId="4" fillId="2" borderId="0" xfId="0" applyFont="1" applyFill="1" applyAlignment="1">
      <alignment horizontal="center"/>
    </xf>
    <xf numFmtId="1" fontId="4" fillId="2" borderId="0" xfId="0" applyNumberFormat="1" applyFont="1" applyFill="1"/>
    <xf numFmtId="44" fontId="0" fillId="0" borderId="0" xfId="2" applyFont="1" applyFill="1"/>
    <xf numFmtId="0" fontId="6" fillId="5" borderId="1" xfId="0" applyFont="1" applyFill="1" applyBorder="1" applyProtection="1">
      <protection locked="0"/>
    </xf>
    <xf numFmtId="2" fontId="0" fillId="7" borderId="0" xfId="0" applyNumberFormat="1" applyFill="1" applyBorder="1"/>
    <xf numFmtId="2" fontId="0" fillId="8" borderId="1" xfId="0" applyNumberFormat="1" applyFill="1" applyBorder="1"/>
    <xf numFmtId="2" fontId="0" fillId="8" borderId="2" xfId="0" applyNumberFormat="1" applyFill="1" applyBorder="1"/>
    <xf numFmtId="44" fontId="0" fillId="0" borderId="0" xfId="2" applyFont="1"/>
    <xf numFmtId="44" fontId="6" fillId="0" borderId="0" xfId="2" applyFont="1"/>
    <xf numFmtId="0" fontId="7" fillId="0" borderId="0" xfId="0" applyFont="1" applyFill="1"/>
    <xf numFmtId="0" fontId="4" fillId="2" borderId="0" xfId="0" applyFont="1" applyFill="1" applyAlignment="1">
      <alignment horizontal="right"/>
    </xf>
    <xf numFmtId="0" fontId="6" fillId="5" borderId="1" xfId="0" applyFont="1" applyFill="1" applyBorder="1" applyAlignment="1" applyProtection="1">
      <alignment horizontal="right" vertical="center"/>
      <protection locked="0"/>
    </xf>
    <xf numFmtId="167" fontId="3" fillId="3" borderId="0" xfId="1" applyNumberFormat="1" applyFont="1" applyFill="1"/>
    <xf numFmtId="0" fontId="14" fillId="3" borderId="0" xfId="0" applyFont="1" applyFill="1"/>
    <xf numFmtId="0" fontId="1" fillId="7" borderId="0" xfId="0" applyFont="1" applyFill="1" applyAlignment="1">
      <alignment horizontal="right"/>
    </xf>
    <xf numFmtId="0" fontId="0" fillId="7" borderId="0" xfId="0" applyFill="1"/>
    <xf numFmtId="0" fontId="13" fillId="13" borderId="5" xfId="0" applyFont="1" applyFill="1" applyBorder="1"/>
    <xf numFmtId="43" fontId="0" fillId="13" borderId="6" xfId="0" applyNumberFormat="1" applyFill="1" applyBorder="1"/>
    <xf numFmtId="0" fontId="0" fillId="13" borderId="7" xfId="0" applyFill="1" applyBorder="1"/>
    <xf numFmtId="43" fontId="0" fillId="13" borderId="8" xfId="0" applyNumberFormat="1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3" fillId="14" borderId="5" xfId="0" applyFont="1" applyFill="1" applyBorder="1"/>
    <xf numFmtId="0" fontId="0" fillId="14" borderId="7" xfId="0" applyFill="1" applyBorder="1"/>
    <xf numFmtId="0" fontId="1" fillId="0" borderId="0" xfId="0" applyFont="1" applyBorder="1"/>
    <xf numFmtId="0" fontId="1" fillId="11" borderId="0" xfId="0" applyFont="1" applyFill="1" applyBorder="1"/>
    <xf numFmtId="0" fontId="0" fillId="0" borderId="0" xfId="0" applyBorder="1"/>
    <xf numFmtId="0" fontId="0" fillId="12" borderId="0" xfId="0" applyFill="1" applyBorder="1"/>
    <xf numFmtId="0" fontId="1" fillId="0" borderId="0" xfId="0" applyFont="1" applyFill="1" applyBorder="1"/>
    <xf numFmtId="0" fontId="0" fillId="0" borderId="10" xfId="0" applyBorder="1"/>
    <xf numFmtId="0" fontId="1" fillId="0" borderId="10" xfId="0" applyFont="1" applyFill="1" applyBorder="1"/>
    <xf numFmtId="0" fontId="0" fillId="12" borderId="10" xfId="0" applyFill="1" applyBorder="1"/>
    <xf numFmtId="0" fontId="2" fillId="11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12" borderId="0" xfId="0" applyFont="1" applyFill="1" applyBorder="1" applyAlignment="1">
      <alignment vertical="center"/>
    </xf>
    <xf numFmtId="0" fontId="1" fillId="0" borderId="7" xfId="0" applyFont="1" applyBorder="1"/>
    <xf numFmtId="0" fontId="0" fillId="12" borderId="8" xfId="0" applyFill="1" applyBorder="1"/>
    <xf numFmtId="43" fontId="0" fillId="14" borderId="6" xfId="0" applyNumberFormat="1" applyFill="1" applyBorder="1"/>
    <xf numFmtId="0" fontId="2" fillId="11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12" borderId="12" xfId="0" applyFont="1" applyFill="1" applyBorder="1" applyAlignment="1">
      <alignment vertical="center"/>
    </xf>
    <xf numFmtId="0" fontId="2" fillId="11" borderId="15" xfId="0" applyFont="1" applyFill="1" applyBorder="1" applyAlignment="1">
      <alignment horizontal="right" vertical="center"/>
    </xf>
    <xf numFmtId="0" fontId="0" fillId="11" borderId="15" xfId="0" applyFill="1" applyBorder="1"/>
    <xf numFmtId="0" fontId="0" fillId="0" borderId="16" xfId="0" applyBorder="1"/>
    <xf numFmtId="0" fontId="0" fillId="11" borderId="17" xfId="0" applyFill="1" applyBorder="1"/>
    <xf numFmtId="0" fontId="1" fillId="11" borderId="18" xfId="0" applyFont="1" applyFill="1" applyBorder="1"/>
    <xf numFmtId="0" fontId="1" fillId="0" borderId="18" xfId="0" applyFont="1" applyFill="1" applyBorder="1"/>
    <xf numFmtId="0" fontId="1" fillId="0" borderId="18" xfId="0" applyFont="1" applyBorder="1"/>
    <xf numFmtId="0" fontId="0" fillId="12" borderId="18" xfId="0" applyFill="1" applyBorder="1"/>
    <xf numFmtId="0" fontId="0" fillId="0" borderId="20" xfId="0" applyBorder="1"/>
    <xf numFmtId="0" fontId="0" fillId="11" borderId="6" xfId="0" applyFill="1" applyBorder="1"/>
    <xf numFmtId="0" fontId="0" fillId="11" borderId="19" xfId="0" applyFill="1" applyBorder="1"/>
    <xf numFmtId="168" fontId="0" fillId="14" borderId="0" xfId="1" applyNumberFormat="1" applyFont="1" applyFill="1" applyBorder="1"/>
    <xf numFmtId="168" fontId="0" fillId="14" borderId="10" xfId="1" applyNumberFormat="1" applyFont="1" applyFill="1" applyBorder="1"/>
    <xf numFmtId="43" fontId="0" fillId="14" borderId="8" xfId="0" applyNumberFormat="1" applyFill="1" applyBorder="1"/>
    <xf numFmtId="167" fontId="0" fillId="0" borderId="0" xfId="0" applyNumberFormat="1" applyFill="1"/>
    <xf numFmtId="43" fontId="1" fillId="0" borderId="0" xfId="1" applyNumberFormat="1" applyFont="1" applyFill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9" xfId="0" applyBorder="1"/>
    <xf numFmtId="0" fontId="6" fillId="0" borderId="9" xfId="0" applyFont="1" applyBorder="1"/>
    <xf numFmtId="164" fontId="0" fillId="0" borderId="0" xfId="0" applyNumberFormat="1" applyBorder="1"/>
    <xf numFmtId="1" fontId="0" fillId="0" borderId="0" xfId="0" applyNumberFormat="1" applyBorder="1"/>
    <xf numFmtId="167" fontId="0" fillId="0" borderId="0" xfId="1" applyNumberFormat="1" applyFont="1" applyBorder="1"/>
    <xf numFmtId="164" fontId="0" fillId="0" borderId="10" xfId="0" applyNumberFormat="1" applyBorder="1"/>
    <xf numFmtId="1" fontId="0" fillId="0" borderId="10" xfId="0" applyNumberFormat="1" applyBorder="1"/>
    <xf numFmtId="167" fontId="0" fillId="0" borderId="10" xfId="1" applyNumberFormat="1" applyFont="1" applyBorder="1"/>
    <xf numFmtId="0" fontId="6" fillId="0" borderId="0" xfId="0" applyFont="1" applyBorder="1"/>
    <xf numFmtId="0" fontId="6" fillId="0" borderId="6" xfId="0" applyFont="1" applyBorder="1"/>
    <xf numFmtId="44" fontId="0" fillId="0" borderId="0" xfId="0" applyNumberFormat="1" applyBorder="1"/>
    <xf numFmtId="44" fontId="0" fillId="0" borderId="6" xfId="0" applyNumberFormat="1" applyBorder="1"/>
    <xf numFmtId="44" fontId="0" fillId="0" borderId="10" xfId="0" applyNumberFormat="1" applyBorder="1"/>
    <xf numFmtId="44" fontId="0" fillId="0" borderId="8" xfId="0" applyNumberFormat="1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21" xfId="0" applyBorder="1"/>
    <xf numFmtId="0" fontId="1" fillId="0" borderId="15" xfId="0" applyFont="1" applyBorder="1"/>
    <xf numFmtId="0" fontId="0" fillId="0" borderId="22" xfId="0" applyBorder="1"/>
    <xf numFmtId="0" fontId="0" fillId="0" borderId="0" xfId="0" applyFill="1" applyBorder="1"/>
    <xf numFmtId="0" fontId="1" fillId="0" borderId="15" xfId="0" applyFont="1" applyFill="1" applyBorder="1"/>
    <xf numFmtId="169" fontId="0" fillId="0" borderId="0" xfId="1" applyNumberFormat="1" applyFont="1" applyBorder="1"/>
    <xf numFmtId="43" fontId="0" fillId="0" borderId="0" xfId="0" applyNumberFormat="1" applyBorder="1"/>
    <xf numFmtId="0" fontId="0" fillId="0" borderId="17" xfId="0" applyBorder="1"/>
    <xf numFmtId="0" fontId="0" fillId="0" borderId="18" xfId="0" applyBorder="1"/>
    <xf numFmtId="44" fontId="0" fillId="2" borderId="9" xfId="2" applyFont="1" applyFill="1" applyBorder="1"/>
    <xf numFmtId="0" fontId="5" fillId="0" borderId="9" xfId="3" applyFont="1" applyBorder="1" applyAlignment="1" applyProtection="1">
      <alignment wrapText="1"/>
    </xf>
    <xf numFmtId="0" fontId="6" fillId="0" borderId="5" xfId="0" applyFont="1" applyBorder="1"/>
    <xf numFmtId="165" fontId="0" fillId="0" borderId="0" xfId="0" applyNumberFormat="1" applyBorder="1"/>
    <xf numFmtId="166" fontId="0" fillId="0" borderId="0" xfId="0" applyNumberFormat="1" applyBorder="1"/>
    <xf numFmtId="0" fontId="6" fillId="0" borderId="0" xfId="0" applyFont="1" applyBorder="1" applyAlignment="1">
      <alignment horizontal="center"/>
    </xf>
    <xf numFmtId="0" fontId="6" fillId="11" borderId="0" xfId="0" applyFont="1" applyFill="1" applyBorder="1"/>
    <xf numFmtId="0" fontId="6" fillId="11" borderId="0" xfId="0" applyFont="1" applyFill="1" applyBorder="1" applyAlignment="1">
      <alignment horizontal="center"/>
    </xf>
    <xf numFmtId="0" fontId="13" fillId="11" borderId="0" xfId="0" applyFont="1" applyFill="1" applyBorder="1"/>
    <xf numFmtId="0" fontId="0" fillId="11" borderId="0" xfId="0" applyFill="1" applyBorder="1"/>
    <xf numFmtId="0" fontId="13" fillId="0" borderId="0" xfId="0" applyFont="1" applyBorder="1"/>
    <xf numFmtId="0" fontId="0" fillId="2" borderId="0" xfId="0" applyFont="1" applyFill="1"/>
    <xf numFmtId="0" fontId="0" fillId="0" borderId="5" xfId="0" applyFont="1" applyBorder="1"/>
    <xf numFmtId="0" fontId="0" fillId="15" borderId="1" xfId="0" applyFill="1" applyBorder="1" applyProtection="1">
      <protection locked="0"/>
    </xf>
    <xf numFmtId="0" fontId="1" fillId="7" borderId="0" xfId="0" applyFont="1" applyFill="1"/>
    <xf numFmtId="0" fontId="16" fillId="0" borderId="0" xfId="0" applyFont="1" applyFill="1"/>
    <xf numFmtId="43" fontId="0" fillId="0" borderId="0" xfId="1" applyFont="1"/>
    <xf numFmtId="0" fontId="0" fillId="7" borderId="0" xfId="0" applyFill="1" applyBorder="1" applyProtection="1"/>
    <xf numFmtId="0" fontId="0" fillId="7" borderId="0" xfId="0" applyFill="1" applyProtection="1"/>
    <xf numFmtId="0" fontId="11" fillId="7" borderId="0" xfId="0" applyFont="1" applyFill="1" applyAlignment="1">
      <alignment horizontal="center" vertical="top"/>
    </xf>
    <xf numFmtId="9" fontId="9" fillId="7" borderId="0" xfId="4" applyFont="1" applyFill="1" applyAlignment="1">
      <alignment horizontal="center" vertical="top"/>
    </xf>
    <xf numFmtId="0" fontId="12" fillId="2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2" fillId="14" borderId="4" xfId="0" applyFont="1" applyFill="1" applyBorder="1" applyAlignment="1">
      <alignment horizontal="center" vertical="center" wrapText="1"/>
    </xf>
    <xf numFmtId="0" fontId="2" fillId="14" borderId="6" xfId="0" applyFont="1" applyFill="1" applyBorder="1" applyAlignment="1">
      <alignment horizontal="center" vertical="center" wrapText="1"/>
    </xf>
    <xf numFmtId="0" fontId="2" fillId="11" borderId="13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13" borderId="5" xfId="0" applyFont="1" applyFill="1" applyBorder="1" applyAlignment="1">
      <alignment horizontal="center" vertical="center" wrapText="1"/>
    </xf>
    <xf numFmtId="0" fontId="2" fillId="13" borderId="4" xfId="0" applyFont="1" applyFill="1" applyBorder="1" applyAlignment="1">
      <alignment horizontal="center" vertical="center" wrapText="1"/>
    </xf>
    <xf numFmtId="0" fontId="2" fillId="13" borderId="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14" borderId="3" xfId="0" applyFont="1" applyFill="1" applyBorder="1" applyAlignment="1">
      <alignment horizontal="center" vertical="center" wrapText="1"/>
    </xf>
    <xf numFmtId="0" fontId="2" fillId="14" borderId="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9" borderId="9" xfId="0" applyFont="1" applyFill="1" applyBorder="1" applyAlignment="1">
      <alignment horizontal="center"/>
    </xf>
    <xf numFmtId="0" fontId="4" fillId="10" borderId="9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2" fillId="14" borderId="9" xfId="0" applyFont="1" applyFill="1" applyBorder="1" applyAlignment="1">
      <alignment horizontal="center" vertical="center" wrapText="1"/>
    </xf>
    <xf numFmtId="0" fontId="2" fillId="14" borderId="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11" borderId="11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</cellXfs>
  <cellStyles count="10">
    <cellStyle name="Comma" xfId="1" builtinId="3"/>
    <cellStyle name="Currency" xfId="2" builtinId="4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Hyperlink" xfId="3" builtinId="8"/>
    <cellStyle name="Normal" xfId="0" builtinId="0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Monthly </a:t>
            </a:r>
            <a:r>
              <a:rPr lang="en-AU" baseline="0"/>
              <a:t>pump running costs</a:t>
            </a:r>
            <a:endParaRPr lang="en-AU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756668820257258"/>
          <c:y val="0.142761324874877"/>
          <c:w val="0.908944558047829"/>
          <c:h val="0.696736013261501"/>
        </c:manualLayout>
      </c:layout>
      <c:barChart>
        <c:barDir val="col"/>
        <c:grouping val="clustered"/>
        <c:varyColors val="0"/>
        <c:ser>
          <c:idx val="0"/>
          <c:order val="0"/>
          <c:tx>
            <c:v>Conventional pump</c:v>
          </c:tx>
          <c:spPr>
            <a:solidFill>
              <a:srgbClr val="FF0000">
                <a:alpha val="60000"/>
              </a:srgbClr>
            </a:solidFill>
            <a:ln w="25400">
              <a:noFill/>
            </a:ln>
          </c:spPr>
          <c:invertIfNegative val="0"/>
          <c:cat>
            <c:strRef>
              <c:f>Data!$C$18:$N$18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Data!$C$19:$N$19</c:f>
              <c:numCache>
                <c:formatCode>_("$"* #,##0.00_);_("$"* \(#,##0.00\);_("$"* "-"??_);_(@_)</c:formatCode>
                <c:ptCount val="12"/>
                <c:pt idx="0">
                  <c:v>50.4</c:v>
                </c:pt>
                <c:pt idx="1">
                  <c:v>50.4</c:v>
                </c:pt>
                <c:pt idx="2">
                  <c:v>50.4</c:v>
                </c:pt>
                <c:pt idx="3">
                  <c:v>50.4</c:v>
                </c:pt>
                <c:pt idx="4">
                  <c:v>50.4</c:v>
                </c:pt>
                <c:pt idx="5">
                  <c:v>50.4</c:v>
                </c:pt>
                <c:pt idx="6">
                  <c:v>50.4</c:v>
                </c:pt>
                <c:pt idx="7">
                  <c:v>50.4</c:v>
                </c:pt>
                <c:pt idx="8">
                  <c:v>50.4</c:v>
                </c:pt>
                <c:pt idx="9">
                  <c:v>50.4</c:v>
                </c:pt>
                <c:pt idx="10">
                  <c:v>50.4</c:v>
                </c:pt>
                <c:pt idx="11">
                  <c:v>50.4</c:v>
                </c:pt>
              </c:numCache>
            </c:numRef>
          </c:val>
        </c:ser>
        <c:ser>
          <c:idx val="1"/>
          <c:order val="1"/>
          <c:tx>
            <c:strRef>
              <c:f>Data!$A$29</c:f>
              <c:strCache>
                <c:ptCount val="1"/>
                <c:pt idx="0">
                  <c:v>EEV2 Pump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Data!$C$18:$N$18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Data!$C$21:$N$21</c:f>
              <c:numCache>
                <c:formatCode>_("$"* #,##0.00_);_("$"* \(#,##0.00\);_("$"* "-"??_);_(@_)</c:formatCode>
                <c:ptCount val="12"/>
                <c:pt idx="0">
                  <c:v>6.389282477735983</c:v>
                </c:pt>
                <c:pt idx="1">
                  <c:v>6.389282477735983</c:v>
                </c:pt>
                <c:pt idx="2">
                  <c:v>6.389282477735983</c:v>
                </c:pt>
                <c:pt idx="3">
                  <c:v>6.389282477735983</c:v>
                </c:pt>
                <c:pt idx="4">
                  <c:v>6.389282477735983</c:v>
                </c:pt>
                <c:pt idx="5">
                  <c:v>6.389282477735983</c:v>
                </c:pt>
                <c:pt idx="6">
                  <c:v>6.389282477735983</c:v>
                </c:pt>
                <c:pt idx="7">
                  <c:v>6.389282477735983</c:v>
                </c:pt>
                <c:pt idx="8">
                  <c:v>6.389282477735983</c:v>
                </c:pt>
                <c:pt idx="9">
                  <c:v>6.389282477735983</c:v>
                </c:pt>
                <c:pt idx="10">
                  <c:v>6.389282477735983</c:v>
                </c:pt>
                <c:pt idx="11">
                  <c:v>6.389282477735983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1976872"/>
        <c:axId val="2132468152"/>
      </c:barChart>
      <c:catAx>
        <c:axId val="2111976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132468152"/>
        <c:crosses val="autoZero"/>
        <c:auto val="1"/>
        <c:lblAlgn val="ctr"/>
        <c:lblOffset val="100"/>
        <c:noMultiLvlLbl val="0"/>
      </c:catAx>
      <c:valAx>
        <c:axId val="2132468152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1119768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0284889476947"/>
          <c:y val="0.874327862631629"/>
          <c:w val="0.770031613263384"/>
          <c:h val="0.11354267463555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216959</xdr:colOff>
      <xdr:row>5</xdr:row>
      <xdr:rowOff>0</xdr:rowOff>
    </xdr:from>
    <xdr:to>
      <xdr:col>7</xdr:col>
      <xdr:colOff>391585</xdr:colOff>
      <xdr:row>15</xdr:row>
      <xdr:rowOff>42333</xdr:rowOff>
    </xdr:to>
    <xdr:sp macro="" textlink="">
      <xdr:nvSpPr>
        <xdr:cNvPr id="15" name="5-Point Star 14"/>
        <xdr:cNvSpPr/>
      </xdr:nvSpPr>
      <xdr:spPr>
        <a:xfrm>
          <a:off x="6207126" y="1259417"/>
          <a:ext cx="2037292" cy="2084916"/>
        </a:xfrm>
        <a:prstGeom prst="star5">
          <a:avLst/>
        </a:prstGeom>
        <a:solidFill>
          <a:srgbClr val="FF0000">
            <a:alpha val="35000"/>
          </a:srgbClr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AU"/>
        </a:p>
      </xdr:txBody>
    </xdr:sp>
    <xdr:clientData/>
  </xdr:twoCellAnchor>
  <xdr:twoCellAnchor>
    <xdr:from>
      <xdr:col>2</xdr:col>
      <xdr:colOff>19050</xdr:colOff>
      <xdr:row>0</xdr:row>
      <xdr:rowOff>57150</xdr:rowOff>
    </xdr:from>
    <xdr:to>
      <xdr:col>3</xdr:col>
      <xdr:colOff>209550</xdr:colOff>
      <xdr:row>0</xdr:row>
      <xdr:rowOff>447675</xdr:rowOff>
    </xdr:to>
    <xdr:pic>
      <xdr:nvPicPr>
        <xdr:cNvPr id="1397" name="Picture 6" descr="Fluidra_vertical_policromati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89450" y="57150"/>
          <a:ext cx="1574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142875</xdr:rowOff>
    </xdr:from>
    <xdr:to>
      <xdr:col>1</xdr:col>
      <xdr:colOff>1647825</xdr:colOff>
      <xdr:row>0</xdr:row>
      <xdr:rowOff>485775</xdr:rowOff>
    </xdr:to>
    <xdr:pic>
      <xdr:nvPicPr>
        <xdr:cNvPr id="1398" name="Picture 7" descr="Logo_Astralpool_80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142875"/>
          <a:ext cx="2362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24</xdr:row>
      <xdr:rowOff>9525</xdr:rowOff>
    </xdr:from>
    <xdr:to>
      <xdr:col>7</xdr:col>
      <xdr:colOff>352425</xdr:colOff>
      <xdr:row>43</xdr:row>
      <xdr:rowOff>95250</xdr:rowOff>
    </xdr:to>
    <xdr:graphicFrame macro="">
      <xdr:nvGraphicFramePr>
        <xdr:cNvPr id="139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232833</xdr:colOff>
      <xdr:row>23</xdr:row>
      <xdr:rowOff>137583</xdr:rowOff>
    </xdr:from>
    <xdr:to>
      <xdr:col>11</xdr:col>
      <xdr:colOff>412750</xdr:colOff>
      <xdr:row>25</xdr:row>
      <xdr:rowOff>127000</xdr:rowOff>
    </xdr:to>
    <xdr:sp macro="" textlink="">
      <xdr:nvSpPr>
        <xdr:cNvPr id="2" name="Down Arrow 1"/>
        <xdr:cNvSpPr/>
      </xdr:nvSpPr>
      <xdr:spPr>
        <a:xfrm>
          <a:off x="16072908" y="3804708"/>
          <a:ext cx="179917" cy="33231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13</xdr:col>
      <xdr:colOff>285750</xdr:colOff>
      <xdr:row>23</xdr:row>
      <xdr:rowOff>148166</xdr:rowOff>
    </xdr:from>
    <xdr:to>
      <xdr:col>13</xdr:col>
      <xdr:colOff>465667</xdr:colOff>
      <xdr:row>25</xdr:row>
      <xdr:rowOff>137583</xdr:rowOff>
    </xdr:to>
    <xdr:sp macro="" textlink="">
      <xdr:nvSpPr>
        <xdr:cNvPr id="3" name="Down Arrow 2"/>
        <xdr:cNvSpPr/>
      </xdr:nvSpPr>
      <xdr:spPr>
        <a:xfrm>
          <a:off x="17373600" y="3815291"/>
          <a:ext cx="179917" cy="33231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2@1.1kg/kw%20hr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2@1.1kg/kw%20hr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V55"/>
  <sheetViews>
    <sheetView showZeros="0" tabSelected="1" showRuler="0" showOutlineSymbols="0" workbookViewId="0">
      <selection activeCell="D10" sqref="D10"/>
    </sheetView>
  </sheetViews>
  <sheetFormatPr baseColWidth="10" defaultColWidth="8.83203125" defaultRowHeight="12" x14ac:dyDescent="0"/>
  <cols>
    <col min="1" max="1" width="11.1640625" bestFit="1" customWidth="1"/>
    <col min="2" max="2" width="47.5" customWidth="1"/>
    <col min="3" max="3" width="18.1640625" customWidth="1"/>
    <col min="4" max="4" width="13.1640625" customWidth="1"/>
    <col min="6" max="6" width="8.5" bestFit="1" customWidth="1"/>
    <col min="7" max="7" width="11.1640625" bestFit="1" customWidth="1"/>
    <col min="9" max="9" width="14" customWidth="1"/>
    <col min="10" max="12" width="9.1640625" customWidth="1"/>
    <col min="13" max="13" width="14.83203125" customWidth="1"/>
    <col min="14" max="15" width="9.1640625" customWidth="1"/>
    <col min="18" max="18" width="13.1640625" bestFit="1" customWidth="1"/>
    <col min="19" max="19" width="9.5" bestFit="1" customWidth="1"/>
    <col min="21" max="21" width="9.5" bestFit="1" customWidth="1"/>
    <col min="22" max="22" width="10.33203125" bestFit="1" customWidth="1"/>
    <col min="24" max="24" width="10.83203125" customWidth="1"/>
    <col min="25" max="25" width="14.5" bestFit="1" customWidth="1"/>
  </cols>
  <sheetData>
    <row r="1" spans="1:20" ht="39.75" customHeight="1">
      <c r="A1" s="4"/>
      <c r="B1" s="4"/>
      <c r="C1" s="4"/>
      <c r="D1" s="4"/>
      <c r="E1" s="130" t="s">
        <v>92</v>
      </c>
      <c r="F1" s="4"/>
      <c r="G1" s="4"/>
      <c r="H1" s="4"/>
      <c r="I1" s="4"/>
      <c r="J1" s="4"/>
      <c r="K1" s="4"/>
    </row>
    <row r="2" spans="1:20" ht="18.75" customHeight="1">
      <c r="A2" s="1" t="s">
        <v>86</v>
      </c>
      <c r="B2" s="1"/>
      <c r="C2" s="1"/>
      <c r="D2" s="1"/>
      <c r="E2" s="1"/>
      <c r="F2" s="1"/>
      <c r="G2" s="1"/>
      <c r="H2" s="1"/>
      <c r="I2" s="4"/>
      <c r="J2" s="4"/>
      <c r="K2" s="4"/>
    </row>
    <row r="3" spans="1:20" ht="13" thickBot="1">
      <c r="A3" s="1"/>
      <c r="B3" s="1"/>
      <c r="C3" s="1"/>
      <c r="D3" s="5"/>
      <c r="E3" s="1"/>
      <c r="F3" s="1"/>
      <c r="G3" s="1"/>
      <c r="H3" s="1"/>
      <c r="I3" s="4"/>
      <c r="J3" s="4"/>
      <c r="K3" s="4"/>
    </row>
    <row r="4" spans="1:20" ht="13" thickBot="1">
      <c r="A4" s="1" t="s">
        <v>13</v>
      </c>
      <c r="B4" s="1" t="s">
        <v>0</v>
      </c>
      <c r="C4" s="17" t="s">
        <v>8</v>
      </c>
      <c r="D4" s="22">
        <v>9</v>
      </c>
      <c r="E4" s="1"/>
      <c r="F4" s="1"/>
      <c r="G4" s="1"/>
      <c r="H4" s="1"/>
      <c r="I4" s="4"/>
      <c r="J4" s="4"/>
      <c r="K4" s="4"/>
    </row>
    <row r="5" spans="1:20" ht="13" thickBot="1">
      <c r="A5" s="1"/>
      <c r="B5" s="1"/>
      <c r="C5" s="17" t="s">
        <v>9</v>
      </c>
      <c r="D5" s="22">
        <v>4.5</v>
      </c>
      <c r="E5" s="1"/>
      <c r="F5" s="1"/>
      <c r="G5" s="1"/>
      <c r="H5" s="1"/>
      <c r="I5" s="4"/>
      <c r="J5" s="4"/>
      <c r="K5" s="4"/>
    </row>
    <row r="6" spans="1:20" ht="13" thickBot="1">
      <c r="A6" s="1"/>
      <c r="B6" s="1"/>
      <c r="C6" s="17" t="s">
        <v>10</v>
      </c>
      <c r="D6" s="30">
        <v>1.2</v>
      </c>
      <c r="E6" s="1"/>
      <c r="F6" s="1"/>
      <c r="G6" s="1"/>
      <c r="H6" s="1"/>
      <c r="I6" s="4"/>
      <c r="J6" s="4"/>
      <c r="K6" s="4"/>
    </row>
    <row r="7" spans="1:20" ht="13" thickBot="1">
      <c r="A7" s="1"/>
      <c r="B7" s="1" t="s">
        <v>11</v>
      </c>
      <c r="C7" s="1"/>
      <c r="D7" s="21">
        <f>D4*D5*D6*1000</f>
        <v>48600</v>
      </c>
      <c r="E7" s="1"/>
      <c r="F7" s="1"/>
      <c r="G7" s="1"/>
      <c r="H7" s="1"/>
      <c r="I7" s="4"/>
      <c r="J7" s="4"/>
      <c r="K7" s="4"/>
    </row>
    <row r="8" spans="1:20" ht="13" thickBot="1">
      <c r="A8" s="1" t="s">
        <v>14</v>
      </c>
      <c r="B8" s="1" t="s">
        <v>1</v>
      </c>
      <c r="C8" s="1"/>
      <c r="D8" s="22">
        <v>28</v>
      </c>
      <c r="E8" s="1"/>
      <c r="F8" s="1"/>
      <c r="G8" s="1"/>
      <c r="H8" s="1"/>
      <c r="I8" s="4"/>
      <c r="J8" s="4"/>
      <c r="K8" s="4"/>
    </row>
    <row r="9" spans="1:20" ht="13" thickBot="1">
      <c r="A9" s="1"/>
      <c r="B9" s="1"/>
      <c r="C9" s="1"/>
      <c r="D9" s="126"/>
      <c r="E9" s="1"/>
      <c r="F9" s="1"/>
      <c r="G9" s="1"/>
      <c r="H9" s="1"/>
      <c r="I9" s="4"/>
      <c r="J9" s="4"/>
      <c r="K9" s="4"/>
    </row>
    <row r="10" spans="1:20" ht="13" thickBot="1">
      <c r="A10" s="1" t="s">
        <v>15</v>
      </c>
      <c r="B10" s="6" t="s">
        <v>67</v>
      </c>
      <c r="C10" s="1"/>
      <c r="D10" s="22">
        <v>1.5</v>
      </c>
      <c r="E10" s="1" t="s">
        <v>2</v>
      </c>
      <c r="F10" s="6"/>
      <c r="G10" s="1"/>
      <c r="H10" s="1"/>
      <c r="I10" s="4"/>
      <c r="J10" s="4"/>
      <c r="K10" s="4"/>
    </row>
    <row r="11" spans="1:20" ht="21">
      <c r="A11" s="1"/>
      <c r="B11" s="1"/>
      <c r="C11" s="1"/>
      <c r="D11" s="1"/>
      <c r="E11" s="1"/>
      <c r="F11" s="135">
        <f>(G45-G46)/G45</f>
        <v>0.8732285222671432</v>
      </c>
      <c r="G11" s="135"/>
      <c r="H11" s="1"/>
      <c r="I11" s="4"/>
      <c r="J11" s="4"/>
      <c r="K11" s="4"/>
    </row>
    <row r="12" spans="1:20" ht="18" thickBot="1">
      <c r="A12" s="1"/>
      <c r="B12" s="1"/>
      <c r="C12" s="1"/>
      <c r="D12" s="1"/>
      <c r="E12" s="1"/>
      <c r="F12" s="134" t="s">
        <v>27</v>
      </c>
      <c r="G12" s="134"/>
      <c r="H12" s="1"/>
      <c r="I12" s="4"/>
      <c r="J12" s="4"/>
      <c r="K12" s="4"/>
    </row>
    <row r="13" spans="1:20" ht="13" thickBot="1">
      <c r="A13" s="1" t="s">
        <v>16</v>
      </c>
      <c r="B13" s="1" t="s">
        <v>17</v>
      </c>
      <c r="C13" s="37" t="s">
        <v>54</v>
      </c>
      <c r="D13" s="23">
        <v>8</v>
      </c>
      <c r="E13" s="1"/>
      <c r="F13" s="6"/>
      <c r="G13" s="1"/>
      <c r="H13" s="1"/>
      <c r="I13" s="4"/>
      <c r="J13" s="4"/>
      <c r="K13" s="4"/>
    </row>
    <row r="14" spans="1:20" ht="13" thickBot="1">
      <c r="A14" s="1"/>
      <c r="B14" s="1"/>
      <c r="C14" s="37" t="s">
        <v>55</v>
      </c>
      <c r="D14" s="23">
        <v>8</v>
      </c>
      <c r="E14" s="1"/>
      <c r="F14" s="6"/>
      <c r="G14" s="1"/>
      <c r="H14" s="1"/>
      <c r="I14" s="4"/>
      <c r="J14" s="4"/>
      <c r="K14" s="4"/>
    </row>
    <row r="15" spans="1:20" ht="13" thickBot="1">
      <c r="A15" s="1"/>
      <c r="B15" s="1"/>
      <c r="C15" s="1"/>
      <c r="D15" s="132"/>
      <c r="E15" s="1"/>
      <c r="F15" s="6"/>
      <c r="G15" s="6"/>
      <c r="H15" s="1"/>
      <c r="I15" s="4"/>
      <c r="J15" s="4"/>
      <c r="K15" s="4"/>
      <c r="S15" s="29"/>
      <c r="T15" s="9"/>
    </row>
    <row r="16" spans="1:20" ht="13" thickBot="1">
      <c r="A16" s="1" t="s">
        <v>32</v>
      </c>
      <c r="B16" s="126" t="s">
        <v>87</v>
      </c>
      <c r="C16" s="1"/>
      <c r="D16" s="128" t="s">
        <v>94</v>
      </c>
      <c r="E16" s="1"/>
      <c r="F16" s="6"/>
      <c r="G16" s="6"/>
      <c r="H16" s="1"/>
      <c r="I16" s="4"/>
      <c r="J16" s="4"/>
      <c r="K16" s="4"/>
      <c r="S16" s="29"/>
      <c r="T16" s="9"/>
    </row>
    <row r="17" spans="1:22">
      <c r="A17" s="1"/>
      <c r="B17" s="1"/>
      <c r="C17" s="42"/>
      <c r="D17" s="133"/>
      <c r="E17" s="42"/>
      <c r="F17" s="6"/>
      <c r="G17" s="6"/>
      <c r="H17" s="1"/>
      <c r="S17" s="29"/>
      <c r="T17" s="9"/>
    </row>
    <row r="18" spans="1:22" ht="13" thickBot="1">
      <c r="A18" s="1"/>
      <c r="B18" s="1"/>
      <c r="C18" s="1"/>
      <c r="D18" s="132"/>
      <c r="E18" s="42"/>
      <c r="F18" s="129"/>
      <c r="G18" s="129"/>
      <c r="H18" s="42"/>
      <c r="S18" s="29"/>
      <c r="T18" s="9"/>
    </row>
    <row r="19" spans="1:22" ht="13" thickBot="1">
      <c r="A19" s="1" t="s">
        <v>91</v>
      </c>
      <c r="B19" s="126" t="s">
        <v>89</v>
      </c>
      <c r="C19" s="1"/>
      <c r="D19" s="38" t="s">
        <v>61</v>
      </c>
      <c r="E19" s="42"/>
      <c r="F19" s="129"/>
      <c r="G19" s="42"/>
      <c r="H19" s="42"/>
    </row>
    <row r="20" spans="1:22" ht="13" thickBot="1">
      <c r="A20" s="1"/>
      <c r="B20" s="1"/>
      <c r="C20" s="1"/>
      <c r="D20" s="1"/>
      <c r="E20" s="42"/>
      <c r="F20" s="41"/>
      <c r="G20" s="42"/>
      <c r="H20" s="129"/>
    </row>
    <row r="21" spans="1:22" ht="13" thickBot="1">
      <c r="A21" s="1"/>
      <c r="B21" s="6" t="s">
        <v>56</v>
      </c>
      <c r="C21" s="1"/>
      <c r="D21" s="32">
        <f>(Data!A9*60)*D13/D7</f>
        <v>2.9629629629629628</v>
      </c>
      <c r="E21" s="1"/>
      <c r="F21" s="6"/>
      <c r="G21" s="6"/>
      <c r="H21" s="6"/>
    </row>
    <row r="22" spans="1:22" ht="13.5" customHeight="1" thickBot="1">
      <c r="A22" s="1"/>
      <c r="B22" s="126" t="s">
        <v>88</v>
      </c>
      <c r="C22" s="1"/>
      <c r="D22" s="33">
        <f>D13*60*VLOOKUP(D16,Data!A29:M31,13,FALSE)/D7</f>
        <v>1.9890260631001373</v>
      </c>
      <c r="E22" s="136" t="str">
        <f>IF(D22&lt;1,"Minimum of 1 turnover per day required - Please select faster pump speed","")</f>
        <v/>
      </c>
      <c r="F22" s="136"/>
      <c r="G22" s="136"/>
      <c r="H22" s="136"/>
    </row>
    <row r="23" spans="1:22">
      <c r="A23" s="1"/>
      <c r="B23" s="1"/>
      <c r="C23" s="1"/>
      <c r="D23" s="31"/>
      <c r="E23" s="136"/>
      <c r="F23" s="136"/>
      <c r="G23" s="136"/>
      <c r="H23" s="136"/>
    </row>
    <row r="24" spans="1:22">
      <c r="A24" s="1"/>
      <c r="B24" s="1"/>
      <c r="C24" s="1"/>
      <c r="D24" s="1"/>
      <c r="E24" s="1"/>
      <c r="F24" s="1"/>
      <c r="G24" s="6"/>
      <c r="H24" s="1"/>
    </row>
    <row r="25" spans="1:22">
      <c r="A25" s="1"/>
      <c r="B25" s="1"/>
      <c r="C25" s="1"/>
      <c r="D25" s="1"/>
      <c r="E25" s="1"/>
      <c r="F25" s="1"/>
      <c r="G25" s="6"/>
      <c r="H25" s="1"/>
    </row>
    <row r="26" spans="1:22">
      <c r="A26" s="1"/>
      <c r="B26" s="1"/>
      <c r="C26" s="1"/>
      <c r="D26" s="1"/>
      <c r="E26" s="1"/>
      <c r="F26" s="1"/>
      <c r="G26" s="6"/>
      <c r="H26" s="1"/>
    </row>
    <row r="27" spans="1:22">
      <c r="A27" s="1"/>
      <c r="B27" s="1"/>
      <c r="C27" s="1"/>
      <c r="D27" s="1"/>
      <c r="E27" s="1"/>
      <c r="F27" s="1"/>
      <c r="G27" s="6"/>
      <c r="H27" s="1"/>
      <c r="I27" s="4"/>
      <c r="J27" s="4"/>
      <c r="K27" s="4"/>
    </row>
    <row r="28" spans="1:22">
      <c r="A28" s="1"/>
      <c r="B28" s="1"/>
      <c r="C28" s="1"/>
      <c r="D28" s="1"/>
      <c r="E28" s="1"/>
      <c r="F28" s="1"/>
      <c r="G28" s="6"/>
      <c r="H28" s="1"/>
      <c r="I28" s="4"/>
      <c r="J28" s="4"/>
      <c r="K28" s="4"/>
    </row>
    <row r="29" spans="1:22">
      <c r="A29" s="1"/>
      <c r="B29" s="1"/>
      <c r="C29" s="1"/>
      <c r="D29" s="1"/>
      <c r="E29" s="1"/>
      <c r="F29" s="1"/>
      <c r="G29" s="6"/>
      <c r="H29" s="1"/>
      <c r="I29" s="4"/>
      <c r="J29" s="4"/>
      <c r="K29" s="4"/>
      <c r="M29" s="131"/>
      <c r="V29">
        <f t="shared" ref="V29:V34" si="0">D34</f>
        <v>0</v>
      </c>
    </row>
    <row r="30" spans="1:22">
      <c r="A30" s="1"/>
      <c r="B30" s="1"/>
      <c r="C30" s="1"/>
      <c r="D30" s="1"/>
      <c r="E30" s="1"/>
      <c r="F30" s="1"/>
      <c r="G30" s="6"/>
      <c r="H30" s="1"/>
      <c r="I30" s="4"/>
      <c r="J30" s="4"/>
      <c r="K30" s="4"/>
      <c r="V30">
        <f t="shared" si="0"/>
        <v>0</v>
      </c>
    </row>
    <row r="31" spans="1:22">
      <c r="A31" s="1"/>
      <c r="B31" s="1"/>
      <c r="C31" s="1"/>
      <c r="D31" s="1"/>
      <c r="E31" s="1"/>
      <c r="F31" s="1"/>
      <c r="G31" s="6"/>
      <c r="H31" s="1"/>
      <c r="I31" s="4"/>
      <c r="J31" s="4"/>
      <c r="K31" s="4"/>
      <c r="V31">
        <f t="shared" si="0"/>
        <v>0</v>
      </c>
    </row>
    <row r="32" spans="1:22">
      <c r="A32" s="1"/>
      <c r="B32" s="1"/>
      <c r="C32" s="1"/>
      <c r="D32" s="1"/>
      <c r="E32" s="1"/>
      <c r="F32" s="1"/>
      <c r="G32" s="6"/>
      <c r="H32" s="1"/>
      <c r="I32" s="4"/>
      <c r="J32" s="4"/>
      <c r="K32" s="4"/>
      <c r="V32">
        <f t="shared" si="0"/>
        <v>0</v>
      </c>
    </row>
    <row r="33" spans="1:22">
      <c r="A33" s="1"/>
      <c r="B33" s="1"/>
      <c r="C33" s="1"/>
      <c r="D33" s="1"/>
      <c r="E33" s="1"/>
      <c r="F33" s="1"/>
      <c r="G33" s="6"/>
      <c r="H33" s="1"/>
      <c r="I33" s="4"/>
      <c r="J33" s="4"/>
      <c r="K33" s="4"/>
      <c r="V33">
        <f t="shared" si="0"/>
        <v>0</v>
      </c>
    </row>
    <row r="34" spans="1:22">
      <c r="A34" s="1"/>
      <c r="B34" s="1"/>
      <c r="C34" s="1"/>
      <c r="D34" s="1"/>
      <c r="E34" s="1"/>
      <c r="F34" s="1"/>
      <c r="G34" s="6"/>
      <c r="H34" s="1"/>
      <c r="I34" s="4"/>
      <c r="J34" s="4"/>
      <c r="K34" s="4"/>
      <c r="V34">
        <f t="shared" si="0"/>
        <v>0</v>
      </c>
    </row>
    <row r="35" spans="1:22">
      <c r="A35" s="1"/>
      <c r="B35" s="1"/>
      <c r="C35" s="1"/>
      <c r="D35" s="1"/>
      <c r="E35" s="1"/>
      <c r="F35" s="1"/>
      <c r="G35" s="6"/>
      <c r="H35" s="1"/>
      <c r="I35" s="4"/>
      <c r="J35" s="4"/>
      <c r="K35" s="4"/>
    </row>
    <row r="36" spans="1:22">
      <c r="A36" s="1"/>
      <c r="B36" s="1"/>
      <c r="C36" s="1"/>
      <c r="D36" s="1"/>
      <c r="E36" s="1"/>
      <c r="F36" s="1"/>
      <c r="G36" s="6"/>
      <c r="H36" s="1"/>
      <c r="I36" s="4"/>
      <c r="J36" s="4"/>
      <c r="K36" s="4"/>
    </row>
    <row r="37" spans="1:22">
      <c r="A37" s="1"/>
      <c r="B37" s="1"/>
      <c r="C37" s="1"/>
      <c r="D37" s="1"/>
      <c r="E37" s="1"/>
      <c r="F37" s="1"/>
      <c r="G37" s="6"/>
      <c r="H37" s="1"/>
      <c r="I37" s="4"/>
      <c r="J37" s="4"/>
      <c r="K37" s="4"/>
    </row>
    <row r="38" spans="1:22">
      <c r="A38" s="1"/>
      <c r="B38" s="1"/>
      <c r="C38" s="1"/>
      <c r="D38" s="1"/>
      <c r="E38" s="1"/>
      <c r="F38" s="1"/>
      <c r="G38" s="6"/>
      <c r="H38" s="1"/>
      <c r="I38" s="4"/>
      <c r="J38" s="4"/>
      <c r="K38" s="4"/>
    </row>
    <row r="39" spans="1:22">
      <c r="A39" s="1"/>
      <c r="B39" s="1"/>
      <c r="C39" s="1"/>
      <c r="D39" s="1"/>
      <c r="E39" s="1"/>
      <c r="F39" s="1"/>
      <c r="G39" s="6"/>
      <c r="H39" s="1"/>
      <c r="I39" s="4"/>
      <c r="J39" s="4"/>
      <c r="K39" s="4"/>
    </row>
    <row r="40" spans="1:22">
      <c r="A40" s="1"/>
      <c r="B40" s="1"/>
      <c r="C40" s="1"/>
      <c r="D40" s="1"/>
      <c r="E40" s="1"/>
      <c r="F40" s="1"/>
      <c r="G40" s="6"/>
      <c r="H40" s="1"/>
      <c r="I40" s="4"/>
      <c r="J40" s="4"/>
      <c r="K40" s="4"/>
    </row>
    <row r="41" spans="1:22">
      <c r="A41" s="1"/>
      <c r="B41" s="1"/>
      <c r="C41" s="1"/>
      <c r="D41" s="1"/>
      <c r="E41" s="1"/>
      <c r="F41" s="1"/>
      <c r="G41" s="6"/>
      <c r="H41" s="1"/>
      <c r="I41" s="4"/>
      <c r="J41" s="4"/>
      <c r="K41" s="4"/>
    </row>
    <row r="42" spans="1:22">
      <c r="A42" s="1"/>
      <c r="B42" s="1"/>
      <c r="C42" s="1"/>
      <c r="D42" s="1"/>
      <c r="E42" s="1"/>
      <c r="F42" s="1"/>
      <c r="G42" s="6"/>
      <c r="H42" s="1"/>
      <c r="I42" s="4"/>
      <c r="J42" s="4"/>
      <c r="K42" s="4"/>
    </row>
    <row r="43" spans="1:22">
      <c r="A43" s="1"/>
      <c r="B43" s="1"/>
      <c r="C43" s="1"/>
      <c r="D43" s="1"/>
      <c r="E43" s="1"/>
      <c r="F43" s="1"/>
      <c r="G43" s="6"/>
      <c r="H43" s="1"/>
      <c r="I43" s="4"/>
      <c r="J43" s="4"/>
      <c r="K43" s="4"/>
    </row>
    <row r="44" spans="1:22">
      <c r="A44" s="1"/>
      <c r="B44" s="1"/>
      <c r="C44" s="1"/>
      <c r="D44" s="1"/>
      <c r="E44" s="1"/>
      <c r="F44" s="1"/>
      <c r="G44" s="6"/>
      <c r="H44" s="1"/>
      <c r="I44" s="4"/>
      <c r="J44" s="4"/>
      <c r="K44" s="4"/>
    </row>
    <row r="45" spans="1:22">
      <c r="A45" s="1"/>
      <c r="B45" s="6" t="s">
        <v>66</v>
      </c>
      <c r="C45" s="1"/>
      <c r="D45" s="1"/>
      <c r="E45" s="1"/>
      <c r="F45" s="1"/>
      <c r="G45" s="16">
        <f>(($D$13*30*7)+($D$14*30*5))*Data!$A$10*$D$8/100</f>
        <v>1209.5999999999999</v>
      </c>
      <c r="H45" s="16"/>
      <c r="I45" s="4"/>
      <c r="J45" s="4"/>
      <c r="K45" s="4"/>
    </row>
    <row r="46" spans="1:22">
      <c r="A46" s="1"/>
      <c r="B46" s="8" t="s">
        <v>90</v>
      </c>
      <c r="C46" s="28"/>
      <c r="D46" s="27"/>
      <c r="E46" s="1"/>
      <c r="F46" s="1"/>
      <c r="G46" s="16">
        <f>((VLOOKUP(D16,Data!A29:O31,15,FALSE)*(D8/100))*(($D$13*30*7)+($D$14*30*5)))</f>
        <v>153.3427794656636</v>
      </c>
      <c r="H46" s="16"/>
      <c r="I46" s="4"/>
      <c r="J46" s="4"/>
      <c r="K46" s="4"/>
    </row>
    <row r="47" spans="1:22" ht="33.75" customHeight="1">
      <c r="A47" s="2"/>
      <c r="B47" s="3" t="s">
        <v>7</v>
      </c>
      <c r="C47" s="3"/>
      <c r="D47" s="26"/>
      <c r="E47" s="26"/>
      <c r="F47" s="26"/>
      <c r="G47" s="24">
        <f>G45-G46</f>
        <v>1056.2572205343363</v>
      </c>
      <c r="H47" s="2"/>
      <c r="I47" s="4"/>
      <c r="J47" s="4"/>
      <c r="K47" s="4"/>
      <c r="S47" s="34"/>
      <c r="T47" s="35"/>
    </row>
    <row r="48" spans="1:22" ht="33.75" customHeight="1">
      <c r="A48" s="2"/>
      <c r="B48" s="3" t="s">
        <v>28</v>
      </c>
      <c r="C48" s="3"/>
      <c r="D48" s="26"/>
      <c r="E48" s="26"/>
      <c r="F48" s="26"/>
      <c r="G48" s="24">
        <f>G47/12</f>
        <v>88.021435044528019</v>
      </c>
      <c r="H48" s="2"/>
      <c r="I48" s="4"/>
      <c r="J48" s="4"/>
      <c r="K48" s="4"/>
      <c r="S48" s="34"/>
      <c r="T48" s="35"/>
    </row>
    <row r="49" spans="1:11">
      <c r="A49" s="2"/>
      <c r="B49" s="40" t="s">
        <v>68</v>
      </c>
      <c r="C49" s="2"/>
      <c r="D49" s="2"/>
      <c r="E49" s="2"/>
      <c r="F49" s="2"/>
      <c r="G49" s="25"/>
      <c r="H49" s="2"/>
      <c r="I49" s="4"/>
      <c r="J49" s="4"/>
      <c r="K49" s="4"/>
    </row>
    <row r="50" spans="1:11">
      <c r="A50" t="s">
        <v>22</v>
      </c>
      <c r="B50" s="4" t="s">
        <v>21</v>
      </c>
      <c r="C50" s="12" t="s">
        <v>18</v>
      </c>
      <c r="D50" s="4"/>
      <c r="E50" s="4"/>
      <c r="F50" s="4"/>
      <c r="G50" s="18">
        <f>Data!D35</f>
        <v>4818</v>
      </c>
      <c r="H50" s="19" t="s">
        <v>24</v>
      </c>
      <c r="I50" s="4"/>
      <c r="J50" s="4"/>
      <c r="K50" s="4"/>
    </row>
    <row r="51" spans="1:11">
      <c r="A51" t="s">
        <v>22</v>
      </c>
      <c r="B51" s="10" t="s">
        <v>65</v>
      </c>
      <c r="C51" s="7"/>
      <c r="D51" s="7"/>
      <c r="E51" s="7"/>
      <c r="F51" s="7"/>
      <c r="G51" s="20">
        <f>VLOOKUP(D16,Data!A29:Q31,17,FALSE)</f>
        <v>610.7849797169041</v>
      </c>
      <c r="H51" s="19" t="s">
        <v>24</v>
      </c>
      <c r="I51" s="84"/>
      <c r="J51" s="7"/>
      <c r="K51" s="7"/>
    </row>
    <row r="52" spans="1:11" ht="31.5" customHeight="1">
      <c r="A52" s="13"/>
      <c r="B52" s="14" t="s">
        <v>23</v>
      </c>
      <c r="C52" s="3"/>
      <c r="D52" s="3"/>
      <c r="E52" s="3"/>
      <c r="F52" s="3"/>
      <c r="G52" s="39">
        <f>G50-G51</f>
        <v>4207.2150202830962</v>
      </c>
      <c r="H52" s="3" t="s">
        <v>24</v>
      </c>
      <c r="I52" s="36"/>
      <c r="J52" s="4"/>
      <c r="K52" s="4"/>
    </row>
    <row r="53" spans="1:11">
      <c r="A53" s="13"/>
      <c r="B53" s="14" t="s">
        <v>29</v>
      </c>
      <c r="C53" s="3"/>
      <c r="D53" s="3"/>
      <c r="E53" s="3"/>
      <c r="F53" s="3"/>
      <c r="G53" s="39">
        <f>G52/0.05</f>
        <v>84144.300405661925</v>
      </c>
      <c r="H53" s="3" t="s">
        <v>30</v>
      </c>
      <c r="I53" s="83"/>
      <c r="J53" s="4"/>
      <c r="K53" s="4"/>
    </row>
    <row r="54" spans="1:11">
      <c r="A54" t="s">
        <v>25</v>
      </c>
      <c r="B54" t="s">
        <v>26</v>
      </c>
      <c r="G54" s="11"/>
      <c r="I54" s="4"/>
      <c r="J54" s="4"/>
      <c r="K54" s="4"/>
    </row>
    <row r="55" spans="1:11">
      <c r="B55" t="s">
        <v>31</v>
      </c>
    </row>
  </sheetData>
  <sheetProtection password="FD78" sheet="1" objects="1" scenarios="1" selectLockedCells="1"/>
  <dataConsolidate>
    <dataRefs count="1">
      <dataRef name="600, 625"/>
    </dataRefs>
  </dataConsolidate>
  <mergeCells count="3">
    <mergeCell ref="F12:G12"/>
    <mergeCell ref="F11:G11"/>
    <mergeCell ref="E22:H23"/>
  </mergeCells>
  <phoneticPr fontId="2" type="noConversion"/>
  <dataValidations xWindow="612" yWindow="369" count="4">
    <dataValidation allowBlank="1" showInputMessage="1" showErrorMessage="1" prompt="Minimum Turnover required is once per day" sqref="D22:D23"/>
    <dataValidation type="list" allowBlank="1" showInputMessage="1" showErrorMessage="1" sqref="D19">
      <formula1>"Low, High"</formula1>
    </dataValidation>
    <dataValidation type="list" allowBlank="1" showInputMessage="1" showErrorMessage="1" sqref="D8">
      <formula1>"24, 25 ,26, 28, 30"</formula1>
    </dataValidation>
    <dataValidation type="list" allowBlank="1" showInputMessage="1" showErrorMessage="1" sqref="D10">
      <formula1>"0.75,1.0,1.5,2.0"</formula1>
    </dataValidation>
  </dataValidations>
  <hyperlinks>
    <hyperlink ref="C50" r:id="rId1" display="CO2@1.1kg/kw hr"/>
  </hyperlinks>
  <printOptions verticalCentered="1"/>
  <pageMargins left="0.25" right="0.25" top="0.75000000000000011" bottom="0.75000000000000011" header="0.30000000000000004" footer="0.30000000000000004"/>
  <pageSetup paperSize="9" scale="72" orientation="portrait" horizontalDpi="4294967292" verticalDpi="4294967292"/>
  <headerFooter alignWithMargins="0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0"/>
  <sheetViews>
    <sheetView showRuler="0" workbookViewId="0">
      <selection activeCell="I29" sqref="I29"/>
    </sheetView>
  </sheetViews>
  <sheetFormatPr baseColWidth="10" defaultColWidth="8.83203125" defaultRowHeight="12" x14ac:dyDescent="0"/>
  <cols>
    <col min="2" max="2" width="11.1640625" customWidth="1"/>
    <col min="7" max="7" width="12.5" customWidth="1"/>
  </cols>
  <sheetData>
    <row r="2" spans="1:18">
      <c r="J2" s="15"/>
      <c r="K2" s="15"/>
      <c r="L2" s="15"/>
      <c r="M2" s="15"/>
    </row>
    <row r="3" spans="1:18">
      <c r="A3" s="85" t="s">
        <v>2</v>
      </c>
      <c r="B3" s="86" t="s">
        <v>12</v>
      </c>
      <c r="E3" s="85" t="s">
        <v>36</v>
      </c>
      <c r="F3" s="88" t="s">
        <v>37</v>
      </c>
      <c r="G3" s="89" t="s">
        <v>40</v>
      </c>
      <c r="H3" s="88" t="s">
        <v>38</v>
      </c>
      <c r="I3" s="88" t="s">
        <v>39</v>
      </c>
      <c r="J3" s="88"/>
      <c r="K3" s="88"/>
      <c r="L3" s="86"/>
      <c r="M3" s="15"/>
    </row>
    <row r="4" spans="1:18">
      <c r="A4" s="87">
        <v>0.75</v>
      </c>
      <c r="B4" s="47">
        <v>200</v>
      </c>
      <c r="E4" s="87" t="s">
        <v>61</v>
      </c>
      <c r="F4" s="54">
        <v>1440</v>
      </c>
      <c r="G4" s="90">
        <v>0.28999999999999998</v>
      </c>
      <c r="H4" s="91">
        <v>200</v>
      </c>
      <c r="I4" s="92">
        <f>H4*60</f>
        <v>12000</v>
      </c>
      <c r="J4" s="54"/>
      <c r="K4" s="54">
        <v>122</v>
      </c>
      <c r="L4" s="47">
        <f>K4/1000</f>
        <v>0.122</v>
      </c>
      <c r="M4" s="15"/>
    </row>
    <row r="5" spans="1:18">
      <c r="A5" s="87">
        <v>1</v>
      </c>
      <c r="B5" s="47">
        <v>250</v>
      </c>
      <c r="E5" s="87" t="s">
        <v>93</v>
      </c>
      <c r="F5" s="54">
        <v>2880</v>
      </c>
      <c r="G5" s="90">
        <v>1.49</v>
      </c>
      <c r="H5" s="91">
        <v>400</v>
      </c>
      <c r="I5" s="92">
        <f>H5*60</f>
        <v>24000</v>
      </c>
      <c r="J5" s="54"/>
      <c r="K5" s="54">
        <v>443</v>
      </c>
      <c r="L5" s="47"/>
      <c r="M5" s="15"/>
    </row>
    <row r="6" spans="1:18">
      <c r="A6" s="87">
        <v>1.5</v>
      </c>
      <c r="B6" s="47">
        <v>300</v>
      </c>
      <c r="E6" s="48"/>
      <c r="F6" s="57"/>
      <c r="G6" s="93"/>
      <c r="H6" s="94"/>
      <c r="I6" s="95"/>
      <c r="J6" s="57"/>
      <c r="K6" s="57"/>
      <c r="L6" s="49"/>
    </row>
    <row r="7" spans="1:18">
      <c r="A7" s="87">
        <v>2</v>
      </c>
      <c r="B7" s="47">
        <v>400</v>
      </c>
    </row>
    <row r="8" spans="1:18">
      <c r="A8" s="48"/>
      <c r="B8" s="49"/>
    </row>
    <row r="9" spans="1:18">
      <c r="A9" s="6">
        <f>VLOOKUP(Sheet1!D10,Data!A4:B7,2,FALSE)</f>
        <v>300</v>
      </c>
      <c r="B9" s="6" t="s">
        <v>3</v>
      </c>
      <c r="C9" s="6"/>
      <c r="D9" s="6"/>
      <c r="E9" s="6"/>
    </row>
    <row r="10" spans="1:18">
      <c r="A10" s="6">
        <f>Sheet1!D10*1</f>
        <v>1.5</v>
      </c>
      <c r="B10" s="6" t="s">
        <v>4</v>
      </c>
      <c r="C10" s="6"/>
      <c r="D10" s="6"/>
      <c r="E10" s="6"/>
    </row>
    <row r="11" spans="1:18">
      <c r="A11" s="6">
        <f>Sheet1!D8*0.296</f>
        <v>8.2880000000000003</v>
      </c>
      <c r="B11" s="6" t="s">
        <v>5</v>
      </c>
      <c r="C11" s="6"/>
      <c r="D11" s="6"/>
      <c r="E11" s="6"/>
    </row>
    <row r="12" spans="1:18">
      <c r="A12" s="6">
        <f>(A9*Sheet1!D13)/200</f>
        <v>12</v>
      </c>
      <c r="B12" s="6" t="s">
        <v>6</v>
      </c>
      <c r="C12" s="6"/>
      <c r="D12" s="6"/>
      <c r="E12" s="6"/>
      <c r="J12" s="15"/>
      <c r="K12" s="15"/>
    </row>
    <row r="13" spans="1:18">
      <c r="J13" s="15"/>
      <c r="K13" s="15"/>
    </row>
    <row r="14" spans="1:18" ht="13" thickBot="1"/>
    <row r="15" spans="1:18">
      <c r="A15" s="102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4"/>
    </row>
    <row r="16" spans="1:18">
      <c r="A16" s="105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71"/>
    </row>
    <row r="17" spans="1:19">
      <c r="A17" s="106"/>
      <c r="B17" s="150" t="s">
        <v>82</v>
      </c>
      <c r="C17" s="152" t="s">
        <v>54</v>
      </c>
      <c r="D17" s="152"/>
      <c r="E17" s="152"/>
      <c r="F17" s="153" t="s">
        <v>55</v>
      </c>
      <c r="G17" s="153"/>
      <c r="H17" s="153"/>
      <c r="I17" s="153"/>
      <c r="J17" s="153"/>
      <c r="K17" s="152" t="s">
        <v>54</v>
      </c>
      <c r="L17" s="152"/>
      <c r="M17" s="152"/>
      <c r="N17" s="154"/>
      <c r="O17" s="54"/>
      <c r="P17" s="54"/>
      <c r="Q17" s="54"/>
      <c r="R17" s="71"/>
    </row>
    <row r="18" spans="1:19">
      <c r="A18" s="105"/>
      <c r="B18" s="151"/>
      <c r="C18" s="96" t="s">
        <v>42</v>
      </c>
      <c r="D18" s="96" t="s">
        <v>43</v>
      </c>
      <c r="E18" s="96" t="s">
        <v>44</v>
      </c>
      <c r="F18" s="96" t="s">
        <v>45</v>
      </c>
      <c r="G18" s="96" t="s">
        <v>46</v>
      </c>
      <c r="H18" s="96" t="s">
        <v>47</v>
      </c>
      <c r="I18" s="96" t="s">
        <v>48</v>
      </c>
      <c r="J18" s="96" t="s">
        <v>49</v>
      </c>
      <c r="K18" s="96" t="s">
        <v>50</v>
      </c>
      <c r="L18" s="96" t="s">
        <v>51</v>
      </c>
      <c r="M18" s="96" t="s">
        <v>52</v>
      </c>
      <c r="N18" s="97" t="s">
        <v>53</v>
      </c>
      <c r="O18" s="54"/>
      <c r="P18" s="54"/>
      <c r="Q18" s="54"/>
      <c r="R18" s="71"/>
    </row>
    <row r="19" spans="1:19">
      <c r="A19" s="105" t="str">
        <f>Sheet1!D10&amp;Sheet1!E10</f>
        <v>1.5hp</v>
      </c>
      <c r="B19" s="98">
        <f>Sheet1!G45</f>
        <v>1209.5999999999999</v>
      </c>
      <c r="C19" s="98">
        <f>$B$19/12*(Sheet1!$D$13/(Sheet1!$D$13+Sheet1!$D$14))</f>
        <v>50.4</v>
      </c>
      <c r="D19" s="98">
        <f>$B$19/12*(Sheet1!$D$13/(Sheet1!$D$13+Sheet1!$D$14))</f>
        <v>50.4</v>
      </c>
      <c r="E19" s="98">
        <f>$B$19/12*(Sheet1!$D$13/(Sheet1!$D$13+Sheet1!$D$14))</f>
        <v>50.4</v>
      </c>
      <c r="F19" s="98">
        <f>$B$19/12*(Sheet1!$D$14/(Sheet1!$D$13+Sheet1!$D$14))</f>
        <v>50.4</v>
      </c>
      <c r="G19" s="98">
        <f>$B$19/12*(Sheet1!$D$14/(Sheet1!$D$13+Sheet1!$D$14))</f>
        <v>50.4</v>
      </c>
      <c r="H19" s="98">
        <f>$B$19/12*(Sheet1!$D$14/(Sheet1!$D$13+Sheet1!$D$14))</f>
        <v>50.4</v>
      </c>
      <c r="I19" s="98">
        <f>$B$19/12*(Sheet1!$D$14/(Sheet1!$D$13+Sheet1!$D$14))</f>
        <v>50.4</v>
      </c>
      <c r="J19" s="98">
        <f>$B$19/12*(Sheet1!$D$14/(Sheet1!$D$13+Sheet1!$D$14))</f>
        <v>50.4</v>
      </c>
      <c r="K19" s="98">
        <f>$B$19/12*(Sheet1!$D$13/(Sheet1!$D$13+Sheet1!$D$14))</f>
        <v>50.4</v>
      </c>
      <c r="L19" s="98">
        <f>$B$19/12*(Sheet1!$D$13/(Sheet1!$D$13+Sheet1!$D$14))</f>
        <v>50.4</v>
      </c>
      <c r="M19" s="98">
        <f>$B$19/12*(Sheet1!$D$13/(Sheet1!$D$13+Sheet1!$D$14))</f>
        <v>50.4</v>
      </c>
      <c r="N19" s="99">
        <f>$B$19/12*(Sheet1!$D$13/(Sheet1!$D$13+Sheet1!$D$14))</f>
        <v>50.4</v>
      </c>
      <c r="O19" s="54"/>
      <c r="P19" s="54"/>
      <c r="Q19" s="54"/>
      <c r="R19" s="71"/>
    </row>
    <row r="20" spans="1:19">
      <c r="A20" s="107" t="s">
        <v>83</v>
      </c>
      <c r="B20" s="98">
        <f t="shared" ref="B20:N20" si="0">B19-B21</f>
        <v>1056.2572205343363</v>
      </c>
      <c r="C20" s="98">
        <f t="shared" si="0"/>
        <v>44.010717522264017</v>
      </c>
      <c r="D20" s="98">
        <f t="shared" si="0"/>
        <v>44.010717522264017</v>
      </c>
      <c r="E20" s="98">
        <f t="shared" si="0"/>
        <v>44.010717522264017</v>
      </c>
      <c r="F20" s="98">
        <f t="shared" si="0"/>
        <v>44.010717522264017</v>
      </c>
      <c r="G20" s="98">
        <f t="shared" si="0"/>
        <v>44.010717522264017</v>
      </c>
      <c r="H20" s="98">
        <f t="shared" si="0"/>
        <v>44.010717522264017</v>
      </c>
      <c r="I20" s="98">
        <f t="shared" si="0"/>
        <v>44.010717522264017</v>
      </c>
      <c r="J20" s="98">
        <f t="shared" si="0"/>
        <v>44.010717522264017</v>
      </c>
      <c r="K20" s="98">
        <f t="shared" si="0"/>
        <v>44.010717522264017</v>
      </c>
      <c r="L20" s="98">
        <f t="shared" si="0"/>
        <v>44.010717522264017</v>
      </c>
      <c r="M20" s="98">
        <f t="shared" si="0"/>
        <v>44.010717522264017</v>
      </c>
      <c r="N20" s="99">
        <f t="shared" si="0"/>
        <v>44.010717522264017</v>
      </c>
      <c r="O20" s="54"/>
      <c r="P20" s="54"/>
      <c r="Q20" s="54"/>
      <c r="R20" s="71"/>
    </row>
    <row r="21" spans="1:19">
      <c r="A21" s="108" t="e">
        <f>Sheet1!#REF!</f>
        <v>#REF!</v>
      </c>
      <c r="B21" s="100">
        <f>Sheet1!G46</f>
        <v>153.3427794656636</v>
      </c>
      <c r="C21" s="100">
        <f>$B$21/12*(Sheet1!$D$13/(Sheet1!$D$13+Sheet1!$D$14))</f>
        <v>6.3892824777359829</v>
      </c>
      <c r="D21" s="100">
        <f>$B$21/12*(Sheet1!$D$13/(Sheet1!$D$13+Sheet1!$D$14))</f>
        <v>6.3892824777359829</v>
      </c>
      <c r="E21" s="100">
        <f>$B$21/12*(Sheet1!$D$13/(Sheet1!$D$13+Sheet1!$D$14))</f>
        <v>6.3892824777359829</v>
      </c>
      <c r="F21" s="100">
        <f>$B$21/12*(Sheet1!$D$14/(Sheet1!$D$13+Sheet1!$D$14))</f>
        <v>6.3892824777359829</v>
      </c>
      <c r="G21" s="100">
        <f>$B$21/12*(Sheet1!$D$14/(Sheet1!$D$13+Sheet1!$D$14))</f>
        <v>6.3892824777359829</v>
      </c>
      <c r="H21" s="100">
        <f>$B$21/12*(Sheet1!$D$14/(Sheet1!$D$13+Sheet1!$D$14))</f>
        <v>6.3892824777359829</v>
      </c>
      <c r="I21" s="100">
        <f>$B$21/12*(Sheet1!$D$14/(Sheet1!$D$13+Sheet1!$D$14))</f>
        <v>6.3892824777359829</v>
      </c>
      <c r="J21" s="100">
        <f>$B$21/12*(Sheet1!$D$14/(Sheet1!$D$13+Sheet1!$D$14))</f>
        <v>6.3892824777359829</v>
      </c>
      <c r="K21" s="100">
        <f>$B$21/12*(Sheet1!$D$13/(Sheet1!$D$13+Sheet1!$D$14))</f>
        <v>6.3892824777359829</v>
      </c>
      <c r="L21" s="100">
        <f>$B$21/12*(Sheet1!$D$13/(Sheet1!$D$13+Sheet1!$D$14))</f>
        <v>6.3892824777359829</v>
      </c>
      <c r="M21" s="100">
        <f>$B$21/12*(Sheet1!$D$13/(Sheet1!$D$13+Sheet1!$D$14))</f>
        <v>6.3892824777359829</v>
      </c>
      <c r="N21" s="101">
        <f>$B$21/12*(Sheet1!$D$13/(Sheet1!$D$13+Sheet1!$D$14))</f>
        <v>6.3892824777359829</v>
      </c>
      <c r="O21" s="54"/>
      <c r="P21" s="54"/>
      <c r="Q21" s="54"/>
      <c r="R21" s="71"/>
      <c r="S21" s="15" t="s">
        <v>84</v>
      </c>
    </row>
    <row r="22" spans="1:19">
      <c r="A22" s="105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71"/>
    </row>
    <row r="23" spans="1:19">
      <c r="A23" s="105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71"/>
    </row>
    <row r="24" spans="1:19">
      <c r="A24" s="107"/>
      <c r="B24" s="54"/>
      <c r="C24" s="54"/>
      <c r="D24" s="54"/>
      <c r="E24" s="54"/>
      <c r="F24" s="158"/>
      <c r="G24" s="159"/>
      <c r="H24" s="159"/>
      <c r="I24" s="160"/>
      <c r="J24" s="54"/>
      <c r="K24" s="54"/>
      <c r="L24" s="54"/>
      <c r="M24" s="54"/>
      <c r="N24" s="54"/>
      <c r="O24" s="54"/>
      <c r="P24" s="54"/>
      <c r="Q24" s="54"/>
      <c r="R24" s="71"/>
    </row>
    <row r="25" spans="1:19">
      <c r="A25" s="105"/>
      <c r="B25" s="54"/>
      <c r="C25" s="54"/>
      <c r="D25" s="54"/>
      <c r="E25" s="109"/>
      <c r="F25" s="63"/>
      <c r="G25" s="58"/>
      <c r="H25" s="59"/>
      <c r="I25" s="64"/>
      <c r="J25" s="54"/>
      <c r="K25" s="54"/>
      <c r="L25" s="54"/>
      <c r="M25" s="54"/>
      <c r="N25" s="54"/>
      <c r="O25" s="54"/>
      <c r="P25" s="54"/>
      <c r="Q25" s="54"/>
      <c r="R25" s="71"/>
    </row>
    <row r="26" spans="1:19" ht="13" thickBot="1">
      <c r="A26" s="110"/>
      <c r="B26" s="56"/>
      <c r="C26" s="54"/>
      <c r="D26" s="54"/>
      <c r="E26" s="54"/>
      <c r="F26" s="54"/>
      <c r="G26" s="52"/>
      <c r="H26" s="52"/>
      <c r="I26" s="52"/>
      <c r="J26" s="54"/>
      <c r="K26" s="54"/>
      <c r="L26" s="54"/>
      <c r="M26" s="54"/>
      <c r="N26" s="54"/>
      <c r="O26" s="54"/>
      <c r="P26" s="54"/>
      <c r="Q26" s="54"/>
      <c r="R26" s="71"/>
    </row>
    <row r="27" spans="1:19">
      <c r="A27" s="110"/>
      <c r="B27" s="161" t="s">
        <v>71</v>
      </c>
      <c r="C27" s="162"/>
      <c r="D27" s="162"/>
      <c r="E27" s="66"/>
      <c r="F27" s="140" t="s">
        <v>74</v>
      </c>
      <c r="G27" s="67"/>
      <c r="H27" s="67"/>
      <c r="I27" s="68" t="s">
        <v>72</v>
      </c>
      <c r="J27" s="146" t="s">
        <v>73</v>
      </c>
      <c r="K27" s="157" t="s">
        <v>59</v>
      </c>
      <c r="L27" s="142" t="s">
        <v>76</v>
      </c>
      <c r="M27" s="144" t="s">
        <v>77</v>
      </c>
      <c r="N27" s="148" t="s">
        <v>79</v>
      </c>
      <c r="O27" s="155" t="s">
        <v>78</v>
      </c>
      <c r="P27" s="138" t="s">
        <v>81</v>
      </c>
      <c r="Q27" s="137" t="s">
        <v>80</v>
      </c>
      <c r="R27" s="71"/>
    </row>
    <row r="28" spans="1:19">
      <c r="A28" s="110"/>
      <c r="B28" s="69" t="s">
        <v>61</v>
      </c>
      <c r="C28" s="60"/>
      <c r="D28" s="60" t="s">
        <v>60</v>
      </c>
      <c r="E28" s="60" t="s">
        <v>75</v>
      </c>
      <c r="F28" s="141"/>
      <c r="G28" s="61" t="s">
        <v>69</v>
      </c>
      <c r="H28" s="61" t="s">
        <v>70</v>
      </c>
      <c r="I28" s="62" t="s">
        <v>36</v>
      </c>
      <c r="J28" s="147"/>
      <c r="K28" s="157"/>
      <c r="L28" s="143"/>
      <c r="M28" s="145"/>
      <c r="N28" s="149"/>
      <c r="O28" s="156"/>
      <c r="P28" s="139"/>
      <c r="Q28" s="137"/>
      <c r="R28" s="71"/>
    </row>
    <row r="29" spans="1:19">
      <c r="A29" s="127" t="s">
        <v>94</v>
      </c>
      <c r="B29" s="70">
        <v>1440</v>
      </c>
      <c r="C29" s="53"/>
      <c r="D29" s="53">
        <v>2880</v>
      </c>
      <c r="E29" s="53">
        <v>2</v>
      </c>
      <c r="F29" s="78">
        <f>HLOOKUP(Sheet1!$D$19,$B$28:$D$31,E29,FALSE)</f>
        <v>1440</v>
      </c>
      <c r="G29" s="54">
        <f>B29</f>
        <v>1440</v>
      </c>
      <c r="H29" s="54">
        <f>D29</f>
        <v>2880</v>
      </c>
      <c r="I29" s="55">
        <f>ROUND((G29+((H29-G29)/100*$H$25))/25,)*25</f>
        <v>1450</v>
      </c>
      <c r="J29" s="71">
        <f>IF($I$25=1,F29,I29)</f>
        <v>1450</v>
      </c>
      <c r="K29" s="111">
        <f>J29/H29</f>
        <v>0.50347222222222221</v>
      </c>
      <c r="L29" s="43">
        <v>400</v>
      </c>
      <c r="M29" s="44">
        <f>L29*K29</f>
        <v>201.38888888888889</v>
      </c>
      <c r="N29" s="50">
        <v>1490</v>
      </c>
      <c r="O29" s="80">
        <f>(N29*K29^3)/1000</f>
        <v>0.19015721659928519</v>
      </c>
      <c r="P29" s="65">
        <f>O29*1000</f>
        <v>190.15721659928519</v>
      </c>
      <c r="Q29" s="112">
        <f>O29*Sheet1!$D$13*1.1*365</f>
        <v>610.7849797169041</v>
      </c>
      <c r="R29" s="71"/>
    </row>
    <row r="30" spans="1:19">
      <c r="A30" s="127"/>
      <c r="B30" s="70"/>
      <c r="C30" s="53"/>
      <c r="D30" s="53"/>
      <c r="E30" s="53"/>
      <c r="F30" s="78"/>
      <c r="G30" s="56"/>
      <c r="H30" s="52"/>
      <c r="I30" s="55"/>
      <c r="J30" s="71"/>
      <c r="K30" s="111"/>
      <c r="L30" s="43"/>
      <c r="M30" s="44"/>
      <c r="N30" s="50"/>
      <c r="O30" s="80"/>
      <c r="P30" s="65"/>
      <c r="Q30" s="112"/>
      <c r="R30" s="71"/>
    </row>
    <row r="31" spans="1:19" ht="13" thickBot="1">
      <c r="A31" s="127"/>
      <c r="B31" s="72"/>
      <c r="C31" s="73"/>
      <c r="D31" s="73"/>
      <c r="E31" s="73"/>
      <c r="F31" s="79"/>
      <c r="G31" s="74"/>
      <c r="H31" s="75"/>
      <c r="I31" s="76"/>
      <c r="J31" s="77"/>
      <c r="K31" s="111"/>
      <c r="L31" s="45"/>
      <c r="M31" s="46"/>
      <c r="N31" s="51"/>
      <c r="O31" s="81"/>
      <c r="P31" s="82"/>
      <c r="Q31" s="112"/>
      <c r="R31" s="71"/>
    </row>
    <row r="32" spans="1:19" ht="13" thickBot="1">
      <c r="A32" s="113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77"/>
    </row>
    <row r="34" spans="1:15" ht="36">
      <c r="A34" s="85"/>
      <c r="B34" s="115" t="s">
        <v>19</v>
      </c>
      <c r="C34" s="116" t="s">
        <v>18</v>
      </c>
      <c r="D34" s="89" t="s">
        <v>41</v>
      </c>
      <c r="E34" s="88"/>
      <c r="F34" s="88"/>
      <c r="G34" s="88"/>
      <c r="H34" s="88"/>
      <c r="I34" s="88"/>
      <c r="J34" s="88"/>
      <c r="K34" s="88"/>
      <c r="L34" s="88"/>
      <c r="M34" s="88"/>
      <c r="N34" s="86"/>
    </row>
    <row r="35" spans="1:15">
      <c r="A35" s="87" t="s">
        <v>20</v>
      </c>
      <c r="B35" s="54">
        <f>Sheet1!D10*Sheet1!D13</f>
        <v>12</v>
      </c>
      <c r="C35" s="54">
        <f>B35*1.1</f>
        <v>13.200000000000001</v>
      </c>
      <c r="D35" s="54">
        <f>C35*365</f>
        <v>4818</v>
      </c>
      <c r="E35" s="54"/>
      <c r="F35" s="54"/>
      <c r="G35" s="54"/>
      <c r="H35" s="54"/>
      <c r="I35" s="54"/>
      <c r="J35" s="54"/>
      <c r="K35" s="54"/>
      <c r="L35" s="54"/>
      <c r="M35" s="54"/>
      <c r="N35" s="47"/>
    </row>
    <row r="36" spans="1:15">
      <c r="A36" s="117" t="s">
        <v>33</v>
      </c>
      <c r="B36" s="118">
        <f>(Data!G4*Sheet1!$D$13)</f>
        <v>2.3199999999999998</v>
      </c>
      <c r="C36" s="119">
        <f>B36*1.1</f>
        <v>2.552</v>
      </c>
      <c r="D36" s="119">
        <f>C36*365</f>
        <v>931.48</v>
      </c>
      <c r="E36" s="54"/>
      <c r="F36" s="54"/>
      <c r="G36" s="54"/>
      <c r="H36" s="54"/>
      <c r="I36" s="54"/>
      <c r="J36" s="54"/>
      <c r="K36" s="54"/>
      <c r="L36" s="54"/>
      <c r="M36" s="54"/>
      <c r="N36" s="47"/>
    </row>
    <row r="37" spans="1:15">
      <c r="A37" s="117" t="s">
        <v>34</v>
      </c>
      <c r="B37" s="118">
        <f>(Data!G5*Sheet1!$D$13)</f>
        <v>11.92</v>
      </c>
      <c r="C37" s="119">
        <f>B37*1.1</f>
        <v>13.112</v>
      </c>
      <c r="D37" s="119">
        <f>C37*365</f>
        <v>4785.88</v>
      </c>
      <c r="E37" s="54"/>
      <c r="F37" s="54"/>
      <c r="G37" s="54"/>
      <c r="H37" s="54"/>
      <c r="I37" s="54"/>
      <c r="J37" s="54"/>
      <c r="K37" s="54"/>
      <c r="L37" s="54"/>
      <c r="M37" s="54"/>
      <c r="N37" s="47"/>
    </row>
    <row r="38" spans="1:15">
      <c r="A38" s="117" t="s">
        <v>35</v>
      </c>
      <c r="B38" s="118">
        <f>(Data!G6*Sheet1!$D$13)</f>
        <v>0</v>
      </c>
      <c r="C38" s="119">
        <f>B38*1.1</f>
        <v>0</v>
      </c>
      <c r="D38" s="119">
        <f>C38*365</f>
        <v>0</v>
      </c>
      <c r="E38" s="54"/>
      <c r="F38" s="54"/>
      <c r="G38" s="54"/>
      <c r="H38" s="54"/>
      <c r="I38" s="54"/>
      <c r="J38" s="54"/>
      <c r="K38" s="54"/>
      <c r="L38" s="54"/>
      <c r="M38" s="54"/>
      <c r="N38" s="47"/>
    </row>
    <row r="39" spans="1:15">
      <c r="A39" s="87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47"/>
    </row>
    <row r="40" spans="1:15">
      <c r="A40" s="87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7"/>
    </row>
    <row r="41" spans="1:15">
      <c r="A41" s="117" t="s">
        <v>57</v>
      </c>
      <c r="B41" s="120" t="s">
        <v>58</v>
      </c>
      <c r="C41" s="121" t="s">
        <v>59</v>
      </c>
      <c r="D41" s="122" t="s">
        <v>60</v>
      </c>
      <c r="E41" s="122"/>
      <c r="F41" s="122" t="s">
        <v>61</v>
      </c>
      <c r="G41" s="120" t="s">
        <v>62</v>
      </c>
      <c r="H41" s="120" t="s">
        <v>63</v>
      </c>
      <c r="I41" s="120" t="s">
        <v>19</v>
      </c>
      <c r="J41" s="54" t="s">
        <v>18</v>
      </c>
      <c r="K41" s="96" t="s">
        <v>41</v>
      </c>
      <c r="L41" s="54"/>
      <c r="M41" s="54"/>
      <c r="N41" s="47"/>
      <c r="O41" s="15" t="s">
        <v>85</v>
      </c>
    </row>
    <row r="42" spans="1:15">
      <c r="A42" s="127" t="s">
        <v>95</v>
      </c>
      <c r="B42" s="54" t="str">
        <f>A42</f>
        <v>EEV2Pump</v>
      </c>
      <c r="C42" s="121" t="s">
        <v>64</v>
      </c>
      <c r="D42" s="123">
        <v>1490</v>
      </c>
      <c r="E42" s="123"/>
      <c r="F42" s="123">
        <v>290</v>
      </c>
      <c r="G42" s="54">
        <f>IF(Sheet1!$D$19="High",3,IF(Sheet1!$D$19="Medium",4,5))</f>
        <v>5</v>
      </c>
      <c r="H42" s="54">
        <f>IF(Sheet1!$D$19="high",D42,F42)</f>
        <v>290</v>
      </c>
      <c r="I42" s="54">
        <f>((H42/1000)*Sheet1!$D$13)</f>
        <v>2.3199999999999998</v>
      </c>
      <c r="J42" s="119">
        <f>I42*1.1</f>
        <v>2.552</v>
      </c>
      <c r="K42" s="119">
        <f>J42*365</f>
        <v>931.48</v>
      </c>
      <c r="L42" s="54"/>
      <c r="M42" s="54" t="e">
        <f>CONCATENATE(Sheet1!#REF!," Pump")</f>
        <v>#REF!</v>
      </c>
      <c r="N42" s="47"/>
    </row>
    <row r="43" spans="1:15">
      <c r="A43" s="127"/>
      <c r="B43" s="54"/>
      <c r="C43" s="121"/>
      <c r="D43" s="123"/>
      <c r="E43" s="123"/>
      <c r="F43" s="123"/>
      <c r="G43" s="54"/>
      <c r="H43" s="54"/>
      <c r="I43" s="54"/>
      <c r="J43" s="119"/>
      <c r="K43" s="119"/>
      <c r="L43" s="54"/>
      <c r="M43" s="54"/>
      <c r="N43" s="47"/>
    </row>
    <row r="44" spans="1:15">
      <c r="A44" s="127"/>
      <c r="B44" s="54"/>
      <c r="C44" s="121"/>
      <c r="D44" s="124"/>
      <c r="E44" s="124"/>
      <c r="F44" s="124"/>
      <c r="G44" s="54"/>
      <c r="H44" s="54"/>
      <c r="I44" s="54"/>
      <c r="J44" s="119"/>
      <c r="K44" s="119"/>
      <c r="L44" s="54"/>
      <c r="M44" s="54"/>
      <c r="N44" s="47"/>
    </row>
    <row r="45" spans="1:15">
      <c r="A45" s="87"/>
      <c r="B45" s="54"/>
      <c r="C45" s="54"/>
      <c r="D45" s="120"/>
      <c r="E45" s="120"/>
      <c r="F45" s="120"/>
      <c r="G45" s="54"/>
      <c r="H45" s="54"/>
      <c r="I45" s="54"/>
      <c r="J45" s="54"/>
      <c r="K45" s="54"/>
      <c r="L45" s="54"/>
      <c r="M45" s="54"/>
      <c r="N45" s="47"/>
    </row>
    <row r="46" spans="1:15">
      <c r="A46" s="117"/>
      <c r="B46" s="120"/>
      <c r="C46" s="96"/>
      <c r="D46" s="120"/>
      <c r="E46" s="120"/>
      <c r="F46" s="120"/>
      <c r="G46" s="120"/>
      <c r="H46" s="120"/>
      <c r="I46" s="54"/>
      <c r="J46" s="54"/>
      <c r="K46" s="54"/>
      <c r="L46" s="54"/>
      <c r="M46" s="54"/>
      <c r="N46" s="47"/>
    </row>
    <row r="47" spans="1:15">
      <c r="A47" s="127"/>
      <c r="B47" s="54"/>
      <c r="C47" s="96"/>
      <c r="D47" s="125"/>
      <c r="E47" s="125"/>
      <c r="F47" s="125"/>
      <c r="G47" s="54"/>
      <c r="H47" s="54"/>
      <c r="I47" s="54"/>
      <c r="J47" s="54"/>
      <c r="K47" s="54"/>
      <c r="L47" s="54"/>
      <c r="M47" s="54"/>
      <c r="N47" s="47"/>
    </row>
    <row r="48" spans="1:15">
      <c r="A48" s="127"/>
      <c r="B48" s="54"/>
      <c r="C48" s="96"/>
      <c r="D48" s="125"/>
      <c r="E48" s="125"/>
      <c r="F48" s="125"/>
      <c r="G48" s="54"/>
      <c r="H48" s="54"/>
      <c r="I48" s="54"/>
      <c r="J48" s="54"/>
      <c r="K48" s="54"/>
      <c r="L48" s="54"/>
      <c r="M48" s="54"/>
      <c r="N48" s="47"/>
    </row>
    <row r="49" spans="1:14">
      <c r="A49" s="127"/>
      <c r="B49" s="54"/>
      <c r="C49" s="96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47"/>
    </row>
    <row r="50" spans="1:14">
      <c r="A50" s="48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49"/>
    </row>
  </sheetData>
  <mergeCells count="15">
    <mergeCell ref="B17:B18"/>
    <mergeCell ref="C17:E17"/>
    <mergeCell ref="F17:J17"/>
    <mergeCell ref="K17:N17"/>
    <mergeCell ref="O27:O28"/>
    <mergeCell ref="K27:K28"/>
    <mergeCell ref="F24:I24"/>
    <mergeCell ref="B27:D27"/>
    <mergeCell ref="Q27:Q28"/>
    <mergeCell ref="P27:P28"/>
    <mergeCell ref="F27:F28"/>
    <mergeCell ref="L27:L28"/>
    <mergeCell ref="M27:M28"/>
    <mergeCell ref="J27:J28"/>
    <mergeCell ref="N27:N28"/>
  </mergeCells>
  <phoneticPr fontId="2" type="noConversion"/>
  <hyperlinks>
    <hyperlink ref="C34" r:id="rId1" display="CO2@1.1kg/kw hr"/>
  </hyperlinks>
  <pageMargins left="0.75" right="0.75" top="1" bottom="1" header="0.5" footer="0.5"/>
  <pageSetup paperSize="9" orientation="portrait" horizontalDpi="4294967292" verticalDpi="4294967292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workbookViewId="0"/>
  </sheetViews>
  <sheetFormatPr baseColWidth="10" defaultColWidth="8.83203125" defaultRowHeight="12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Data</vt:lpstr>
      <vt:lpstr>Sheet3</vt:lpstr>
    </vt:vector>
  </TitlesOfParts>
  <Company>Track Right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pwallace</dc:creator>
  <cp:lastModifiedBy>Peter  Wallace</cp:lastModifiedBy>
  <cp:lastPrinted>2010-10-29T02:38:15Z</cp:lastPrinted>
  <dcterms:created xsi:type="dcterms:W3CDTF">2008-10-07T05:28:24Z</dcterms:created>
  <dcterms:modified xsi:type="dcterms:W3CDTF">2014-08-19T05:01:50Z</dcterms:modified>
</cp:coreProperties>
</file>