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d0-smifpssr001\users\Jason.Bonello\!Desktop\"/>
    </mc:Choice>
  </mc:AlternateContent>
  <workbookProtection workbookAlgorithmName="SHA-512" workbookHashValue="MLxaTqBKMRWR4MOSIIuj3S/7uwWXWLrmLcEzT2/6PjNFQB9XEQ+O/bgnH3MIJx9nHvj2g62fqLGkMMMBbaHnCw==" workbookSaltValue="5LCvpZRZsYyTXFlOEMF28Q==" workbookSpinCount="100000" lockStructure="1"/>
  <bookViews>
    <workbookView xWindow="0" yWindow="0" windowWidth="20490" windowHeight="7455" tabRatio="415"/>
  </bookViews>
  <sheets>
    <sheet name="Calculation" sheetId="1" r:id="rId1"/>
    <sheet name="Temperatures" sheetId="2" r:id="rId2"/>
    <sheet name="Model selection" sheetId="3" r:id="rId3"/>
    <sheet name="Preus" sheetId="4" r:id="rId4"/>
  </sheets>
  <definedNames>
    <definedName name="_xlnm.Print_Area" localSheetId="0">Calculation!$A$1:$I$179</definedName>
  </definedNames>
  <calcPr calcId="152511"/>
</workbook>
</file>

<file path=xl/calcChain.xml><?xml version="1.0" encoding="utf-8"?>
<calcChain xmlns="http://schemas.openxmlformats.org/spreadsheetml/2006/main">
  <c r="D13" i="3" l="1"/>
  <c r="B18" i="3" l="1"/>
  <c r="H18" i="3" s="1"/>
  <c r="B17" i="3"/>
  <c r="H17" i="3" s="1"/>
  <c r="B16" i="3"/>
  <c r="H16" i="3" s="1"/>
  <c r="B15" i="3"/>
  <c r="H15" i="3" s="1"/>
  <c r="B14" i="3"/>
  <c r="H14" i="3" s="1"/>
  <c r="B13" i="3"/>
  <c r="H13" i="3" s="1"/>
  <c r="B12" i="3"/>
  <c r="I12" i="3" s="1"/>
  <c r="B11" i="3"/>
  <c r="H11" i="3" s="1"/>
  <c r="B10" i="3"/>
  <c r="C10" i="3" s="1"/>
  <c r="B9" i="3"/>
  <c r="H9" i="3" s="1"/>
  <c r="B7" i="3"/>
  <c r="H7" i="3" s="1"/>
  <c r="B6" i="3"/>
  <c r="I6" i="3" s="1"/>
  <c r="E37" i="2"/>
  <c r="F37" i="2"/>
  <c r="G37" i="2"/>
  <c r="H37" i="2"/>
  <c r="I37" i="2"/>
  <c r="J37" i="2"/>
  <c r="E38" i="2"/>
  <c r="F38" i="2"/>
  <c r="G38" i="2"/>
  <c r="H38" i="2"/>
  <c r="I38" i="2"/>
  <c r="J38" i="2"/>
  <c r="E39" i="2"/>
  <c r="F39" i="2"/>
  <c r="G39" i="2"/>
  <c r="H39" i="2"/>
  <c r="I39" i="2"/>
  <c r="J39" i="2"/>
  <c r="E40" i="2"/>
  <c r="F40" i="2"/>
  <c r="G40" i="2"/>
  <c r="H40" i="2"/>
  <c r="I40" i="2"/>
  <c r="J40" i="2"/>
  <c r="E42" i="2"/>
  <c r="F42" i="2"/>
  <c r="G42" i="2"/>
  <c r="H42" i="2"/>
  <c r="I42" i="2"/>
  <c r="J42" i="2"/>
  <c r="G36" i="2"/>
  <c r="H36" i="2"/>
  <c r="I36" i="2"/>
  <c r="J36" i="2"/>
  <c r="E36" i="2"/>
  <c r="F36" i="2"/>
  <c r="C17" i="3" l="1"/>
  <c r="C13" i="3"/>
  <c r="C9" i="3"/>
  <c r="I18" i="3"/>
  <c r="I14" i="3"/>
  <c r="I10" i="3"/>
  <c r="C16" i="3"/>
  <c r="C12" i="3"/>
  <c r="I17" i="3"/>
  <c r="I13" i="3"/>
  <c r="I9" i="3"/>
  <c r="C6" i="3"/>
  <c r="C15" i="3"/>
  <c r="C11" i="3"/>
  <c r="C7" i="3"/>
  <c r="I16" i="3"/>
  <c r="C18" i="3"/>
  <c r="C14" i="3"/>
  <c r="I15" i="3"/>
  <c r="I11" i="3"/>
  <c r="I7" i="3"/>
  <c r="H12" i="3"/>
  <c r="H10" i="3"/>
  <c r="H6" i="3"/>
  <c r="B8" i="3"/>
  <c r="I26" i="2"/>
  <c r="H26" i="2"/>
  <c r="G26" i="2"/>
  <c r="F26" i="2"/>
  <c r="M12" i="2"/>
  <c r="L12" i="2"/>
  <c r="K12" i="2"/>
  <c r="J12" i="2"/>
  <c r="I12" i="2"/>
  <c r="H12" i="2"/>
  <c r="G12" i="2"/>
  <c r="F12" i="2"/>
  <c r="E12" i="2"/>
  <c r="D12" i="2"/>
  <c r="C12" i="2"/>
  <c r="B12" i="2"/>
  <c r="N11" i="2"/>
  <c r="B2" i="2"/>
  <c r="B25" i="2" s="1"/>
  <c r="C2" i="2"/>
  <c r="D2" i="2"/>
  <c r="K2" i="2"/>
  <c r="K33" i="2" s="1"/>
  <c r="L2" i="2"/>
  <c r="M2" i="2"/>
  <c r="E2" i="2"/>
  <c r="E20" i="2" s="1"/>
  <c r="G2" i="2"/>
  <c r="G34" i="2" s="1"/>
  <c r="H2" i="2"/>
  <c r="H30" i="2" s="1"/>
  <c r="J2" i="2"/>
  <c r="I2" i="2"/>
  <c r="F2" i="2"/>
  <c r="F32" i="2" s="1"/>
  <c r="D22" i="1"/>
  <c r="D27" i="1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F21" i="2"/>
  <c r="F22" i="2"/>
  <c r="F23" i="2"/>
  <c r="F24" i="2"/>
  <c r="F20" i="2"/>
  <c r="N5" i="2"/>
  <c r="N6" i="2"/>
  <c r="N7" i="2"/>
  <c r="N8" i="2"/>
  <c r="N9" i="2"/>
  <c r="N10" i="2"/>
  <c r="A13" i="2"/>
  <c r="F10" i="2"/>
  <c r="J10" i="2"/>
  <c r="J41" i="2" s="1"/>
  <c r="M10" i="2"/>
  <c r="M41" i="2" s="1"/>
  <c r="L10" i="2"/>
  <c r="L41" i="2" s="1"/>
  <c r="G10" i="2"/>
  <c r="G41" i="2" s="1"/>
  <c r="H10" i="2"/>
  <c r="I10" i="2"/>
  <c r="I41" i="2" s="1"/>
  <c r="K10" i="2"/>
  <c r="E10" i="2"/>
  <c r="E41" i="2" s="1"/>
  <c r="C10" i="2"/>
  <c r="C41" i="2" s="1"/>
  <c r="C33" i="2"/>
  <c r="D10" i="2"/>
  <c r="B10" i="2"/>
  <c r="I80" i="1"/>
  <c r="I16" i="2"/>
  <c r="I17" i="2" s="1"/>
  <c r="M22" i="2"/>
  <c r="K20" i="2"/>
  <c r="K32" i="2"/>
  <c r="K24" i="2"/>
  <c r="C21" i="2"/>
  <c r="C28" i="2"/>
  <c r="C16" i="2"/>
  <c r="C17" i="2" s="1"/>
  <c r="J22" i="2"/>
  <c r="C23" i="2"/>
  <c r="C22" i="2"/>
  <c r="G30" i="2"/>
  <c r="K16" i="2"/>
  <c r="K17" i="2" s="1"/>
  <c r="I29" i="2"/>
  <c r="I32" i="2"/>
  <c r="K29" i="2"/>
  <c r="M28" i="2"/>
  <c r="I28" i="2"/>
  <c r="I31" i="2"/>
  <c r="L31" i="2"/>
  <c r="K30" i="2"/>
  <c r="M20" i="2"/>
  <c r="J24" i="2"/>
  <c r="D23" i="2"/>
  <c r="L16" i="2"/>
  <c r="L17" i="2" s="1"/>
  <c r="M32" i="2"/>
  <c r="M23" i="2"/>
  <c r="M25" i="2"/>
  <c r="M30" i="2"/>
  <c r="C31" i="2"/>
  <c r="K25" i="2"/>
  <c r="F31" i="2"/>
  <c r="F30" i="2"/>
  <c r="M29" i="2"/>
  <c r="F16" i="2" l="1"/>
  <c r="F17" i="2" s="1"/>
  <c r="K31" i="2"/>
  <c r="K43" i="2" s="1"/>
  <c r="H36" i="1" s="1"/>
  <c r="H74" i="1" s="1"/>
  <c r="M33" i="2"/>
  <c r="K21" i="2"/>
  <c r="D25" i="2"/>
  <c r="D41" i="2"/>
  <c r="K41" i="2"/>
  <c r="F25" i="2"/>
  <c r="F41" i="2"/>
  <c r="J25" i="2"/>
  <c r="M26" i="2"/>
  <c r="M37" i="2"/>
  <c r="M38" i="2"/>
  <c r="M39" i="2"/>
  <c r="M40" i="2"/>
  <c r="M42" i="2"/>
  <c r="M36" i="2"/>
  <c r="C26" i="2"/>
  <c r="C37" i="2"/>
  <c r="C38" i="2"/>
  <c r="C39" i="2"/>
  <c r="C40" i="2"/>
  <c r="C42" i="2"/>
  <c r="C36" i="2"/>
  <c r="L29" i="2"/>
  <c r="L38" i="2"/>
  <c r="L42" i="2"/>
  <c r="L36" i="2"/>
  <c r="L39" i="2"/>
  <c r="L40" i="2"/>
  <c r="L37" i="2"/>
  <c r="B26" i="2"/>
  <c r="B36" i="2"/>
  <c r="B37" i="2"/>
  <c r="B38" i="2"/>
  <c r="B39" i="2"/>
  <c r="B40" i="2"/>
  <c r="B42" i="2"/>
  <c r="I33" i="2"/>
  <c r="H25" i="2"/>
  <c r="H41" i="2"/>
  <c r="K23" i="2"/>
  <c r="K36" i="2"/>
  <c r="K37" i="2"/>
  <c r="K38" i="2"/>
  <c r="K39" i="2"/>
  <c r="K40" i="2"/>
  <c r="K42" i="2"/>
  <c r="K28" i="2"/>
  <c r="I25" i="2"/>
  <c r="L23" i="2"/>
  <c r="C25" i="2"/>
  <c r="G28" i="2"/>
  <c r="K22" i="2"/>
  <c r="B41" i="2"/>
  <c r="G25" i="2"/>
  <c r="D29" i="2"/>
  <c r="D37" i="2"/>
  <c r="D39" i="2"/>
  <c r="D40" i="2"/>
  <c r="D36" i="2"/>
  <c r="D38" i="2"/>
  <c r="D42" i="2"/>
  <c r="I8" i="3"/>
  <c r="C8" i="3"/>
  <c r="H8" i="3"/>
  <c r="G33" i="2"/>
  <c r="G31" i="2"/>
  <c r="G43" i="2" s="1"/>
  <c r="H32" i="1" s="1"/>
  <c r="H70" i="1" s="1"/>
  <c r="C29" i="2"/>
  <c r="J32" i="2"/>
  <c r="M16" i="2"/>
  <c r="M17" i="2" s="1"/>
  <c r="F33" i="2"/>
  <c r="G32" i="2"/>
  <c r="C20" i="2"/>
  <c r="G29" i="2"/>
  <c r="C30" i="2"/>
  <c r="C43" i="2" s="1"/>
  <c r="H28" i="1" s="1"/>
  <c r="H66" i="1" s="1"/>
  <c r="F43" i="2"/>
  <c r="H31" i="1" s="1"/>
  <c r="H69" i="1" s="1"/>
  <c r="J21" i="2"/>
  <c r="H29" i="2"/>
  <c r="G16" i="2"/>
  <c r="G17" i="2" s="1"/>
  <c r="M24" i="2"/>
  <c r="E24" i="2"/>
  <c r="C24" i="2"/>
  <c r="B22" i="2"/>
  <c r="M21" i="2"/>
  <c r="M31" i="2"/>
  <c r="M43" i="2" s="1"/>
  <c r="H38" i="1" s="1"/>
  <c r="H76" i="1" s="1"/>
  <c r="F29" i="2"/>
  <c r="F34" i="2"/>
  <c r="B32" i="2"/>
  <c r="B21" i="2"/>
  <c r="I30" i="2"/>
  <c r="I43" i="2" s="1"/>
  <c r="H34" i="1" s="1"/>
  <c r="H72" i="1" s="1"/>
  <c r="H34" i="2"/>
  <c r="B16" i="2"/>
  <c r="B17" i="2" s="1"/>
  <c r="B29" i="2"/>
  <c r="I34" i="2"/>
  <c r="B23" i="2"/>
  <c r="B13" i="2"/>
  <c r="B34" i="2"/>
  <c r="J34" i="2"/>
  <c r="B28" i="2"/>
  <c r="C32" i="2"/>
  <c r="C34" i="2"/>
  <c r="K34" i="2"/>
  <c r="B20" i="2"/>
  <c r="B30" i="2"/>
  <c r="B33" i="2"/>
  <c r="B31" i="2"/>
  <c r="D34" i="2"/>
  <c r="L34" i="2"/>
  <c r="B24" i="2"/>
  <c r="E34" i="2"/>
  <c r="M34" i="2"/>
  <c r="C13" i="2"/>
  <c r="K13" i="2"/>
  <c r="D30" i="2"/>
  <c r="D21" i="2"/>
  <c r="D13" i="2"/>
  <c r="H32" i="2"/>
  <c r="D20" i="2"/>
  <c r="D33" i="2"/>
  <c r="M13" i="2"/>
  <c r="D22" i="2"/>
  <c r="H31" i="2"/>
  <c r="H43" i="2" s="1"/>
  <c r="H33" i="1" s="1"/>
  <c r="H71" i="1" s="1"/>
  <c r="F13" i="2"/>
  <c r="J26" i="2"/>
  <c r="D16" i="2"/>
  <c r="D17" i="2" s="1"/>
  <c r="K26" i="2"/>
  <c r="D26" i="2"/>
  <c r="L26" i="2"/>
  <c r="H16" i="2"/>
  <c r="H17" i="2" s="1"/>
  <c r="H33" i="2"/>
  <c r="I13" i="2"/>
  <c r="E26" i="2"/>
  <c r="G13" i="2"/>
  <c r="E13" i="2"/>
  <c r="J20" i="2"/>
  <c r="E23" i="2"/>
  <c r="J29" i="2"/>
  <c r="E30" i="2"/>
  <c r="L28" i="2"/>
  <c r="H13" i="2"/>
  <c r="E25" i="2"/>
  <c r="L30" i="2"/>
  <c r="J16" i="2"/>
  <c r="J17" i="2" s="1"/>
  <c r="D32" i="2"/>
  <c r="J28" i="2"/>
  <c r="E16" i="2"/>
  <c r="E17" i="2" s="1"/>
  <c r="L24" i="2"/>
  <c r="E21" i="2"/>
  <c r="L22" i="2"/>
  <c r="L25" i="2"/>
  <c r="D31" i="2"/>
  <c r="D43" i="2" s="1"/>
  <c r="J33" i="2"/>
  <c r="J30" i="2"/>
  <c r="D28" i="2"/>
  <c r="E22" i="2"/>
  <c r="L33" i="2"/>
  <c r="H28" i="2"/>
  <c r="J23" i="2"/>
  <c r="L32" i="2"/>
  <c r="L20" i="2"/>
  <c r="D24" i="2"/>
  <c r="E33" i="2"/>
  <c r="E28" i="2"/>
  <c r="E29" i="2"/>
  <c r="E32" i="2"/>
  <c r="L13" i="2"/>
  <c r="L21" i="2"/>
  <c r="F28" i="2"/>
  <c r="J13" i="2"/>
  <c r="E31" i="2"/>
  <c r="E43" i="2" s="1"/>
  <c r="J31" i="2"/>
  <c r="L43" i="2" l="1"/>
  <c r="H37" i="1" s="1"/>
  <c r="J43" i="2"/>
  <c r="B43" i="2"/>
  <c r="H27" i="1" s="1"/>
  <c r="H65" i="1" s="1"/>
  <c r="I69" i="1"/>
  <c r="D55" i="2" s="1"/>
  <c r="H61" i="1"/>
  <c r="C56" i="2"/>
  <c r="H58" i="1"/>
  <c r="I28" i="1"/>
  <c r="I53" i="1" s="1"/>
  <c r="I72" i="1"/>
  <c r="D58" i="2" s="1"/>
  <c r="H30" i="1"/>
  <c r="H68" i="1" s="1"/>
  <c r="I38" i="1"/>
  <c r="I63" i="1" s="1"/>
  <c r="H63" i="1"/>
  <c r="H35" i="1"/>
  <c r="H73" i="1" s="1"/>
  <c r="H29" i="1"/>
  <c r="H67" i="1" s="1"/>
  <c r="I34" i="1"/>
  <c r="I59" i="1" s="1"/>
  <c r="I31" i="1"/>
  <c r="I56" i="1" s="1"/>
  <c r="H53" i="1"/>
  <c r="C60" i="2"/>
  <c r="I36" i="1"/>
  <c r="I61" i="1" s="1"/>
  <c r="C62" i="2"/>
  <c r="H59" i="1"/>
  <c r="I33" i="1"/>
  <c r="I58" i="1" s="1"/>
  <c r="I71" i="1"/>
  <c r="D57" i="2" s="1"/>
  <c r="H57" i="1"/>
  <c r="I32" i="1"/>
  <c r="I57" i="1" s="1"/>
  <c r="H56" i="1"/>
  <c r="I66" i="1"/>
  <c r="D52" i="2" s="1"/>
  <c r="H75" i="1" l="1"/>
  <c r="I75" i="1" s="1"/>
  <c r="D61" i="2" s="1"/>
  <c r="H62" i="1"/>
  <c r="I37" i="1"/>
  <c r="I62" i="1" s="1"/>
  <c r="H60" i="1"/>
  <c r="C58" i="2"/>
  <c r="I30" i="1"/>
  <c r="I55" i="1" s="1"/>
  <c r="H55" i="1"/>
  <c r="H52" i="1"/>
  <c r="B1" i="3"/>
  <c r="D6" i="3" s="1"/>
  <c r="D7" i="3" s="1"/>
  <c r="I70" i="1"/>
  <c r="D56" i="2" s="1"/>
  <c r="I35" i="1"/>
  <c r="I60" i="1" s="1"/>
  <c r="C55" i="2"/>
  <c r="C51" i="2"/>
  <c r="I29" i="1"/>
  <c r="I54" i="1" s="1"/>
  <c r="C54" i="2"/>
  <c r="H54" i="1"/>
  <c r="I27" i="1"/>
  <c r="I67" i="1"/>
  <c r="D53" i="2" s="1"/>
  <c r="C52" i="2"/>
  <c r="I74" i="1"/>
  <c r="D60" i="2" s="1"/>
  <c r="C57" i="2"/>
  <c r="I76" i="1"/>
  <c r="D62" i="2" s="1"/>
  <c r="I73" i="1"/>
  <c r="D59" i="2" s="1"/>
  <c r="C59" i="2"/>
  <c r="C61" i="2" l="1"/>
  <c r="I65" i="1"/>
  <c r="D51" i="2" s="1"/>
  <c r="I68" i="1"/>
  <c r="D54" i="2" s="1"/>
  <c r="E6" i="3"/>
  <c r="E7" i="3" s="1"/>
  <c r="I52" i="1"/>
  <c r="H1" i="3"/>
  <c r="K6" i="3" s="1"/>
  <c r="H77" i="1"/>
  <c r="C53" i="2"/>
  <c r="D9" i="3"/>
  <c r="D10" i="3" s="1"/>
  <c r="E9" i="3" l="1"/>
  <c r="E10" i="3" s="1"/>
  <c r="I77" i="1"/>
  <c r="J6" i="3"/>
  <c r="J7" i="3" s="1"/>
  <c r="D12" i="3"/>
  <c r="D11" i="3"/>
  <c r="K7" i="3"/>
  <c r="E11" i="3" l="1"/>
  <c r="E13" i="3" s="1"/>
  <c r="E12" i="3"/>
  <c r="D14" i="3"/>
  <c r="D15" i="3" s="1"/>
  <c r="D16" i="3" s="1"/>
  <c r="J9" i="3"/>
  <c r="K9" i="3"/>
  <c r="E14" i="3" l="1"/>
  <c r="D17" i="3"/>
  <c r="D18" i="3" s="1"/>
  <c r="J10" i="3"/>
  <c r="K10" i="3"/>
  <c r="K12" i="3" s="1"/>
  <c r="E15" i="3" l="1"/>
  <c r="J12" i="3"/>
  <c r="J11" i="3"/>
  <c r="K11" i="3"/>
  <c r="E16" i="3" l="1"/>
  <c r="E17" i="3" s="1"/>
  <c r="E18" i="3" s="1"/>
  <c r="J13" i="3"/>
  <c r="K13" i="3"/>
  <c r="F41" i="1" l="1"/>
  <c r="J14" i="3"/>
  <c r="J15" i="3" s="1"/>
  <c r="K14" i="3"/>
  <c r="H79" i="1" l="1"/>
  <c r="H80" i="1"/>
  <c r="K15" i="3"/>
  <c r="K16" i="3" s="1"/>
  <c r="K17" i="3" s="1"/>
  <c r="J16" i="3"/>
  <c r="J17" i="3" s="1"/>
  <c r="J18" i="3" s="1"/>
  <c r="K18" i="3" l="1"/>
  <c r="F42" i="1" s="1"/>
</calcChain>
</file>

<file path=xl/comments1.xml><?xml version="1.0" encoding="utf-8"?>
<comments xmlns="http://schemas.openxmlformats.org/spreadsheetml/2006/main">
  <authors>
    <author>Felix Ortiz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>Internal Note Only:</t>
        </r>
        <r>
          <rPr>
            <sz val="9"/>
            <color indexed="81"/>
            <rFont val="Tahoma"/>
            <family val="2"/>
          </rPr>
          <t xml:space="preserve">
16% = kW gross up factor to calculate total Kw needed to heat a set volume of water (i.e. 1000 litre of water takes 1000*1.16 kW x temperature gap)</t>
        </r>
      </text>
    </comment>
  </commentList>
</comments>
</file>

<file path=xl/comments2.xml><?xml version="1.0" encoding="utf-8"?>
<comments xmlns="http://schemas.openxmlformats.org/spreadsheetml/2006/main">
  <authors>
    <author>Felix Ortiz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Adam Jaworski:</t>
        </r>
        <r>
          <rPr>
            <sz val="9"/>
            <color indexed="81"/>
            <rFont val="Tahoma"/>
            <family val="2"/>
          </rPr>
          <t xml:space="preserve">
1. Maximum kW required to increase pool temperature from ambient to desired temperature
2. Multiply by 33% - this represents the kW required to make up the 33% daily heat loss from the pool
3. Multiply by 12 hours - this is the industry standard accepted running time
</t>
        </r>
        <r>
          <rPr>
            <b/>
            <sz val="9"/>
            <color indexed="81"/>
            <rFont val="Tahoma"/>
            <family val="2"/>
          </rPr>
          <t>Daily kW Req'd = Maximum Heat Up kW required x 33% x 12 hours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Adam Jaworski:
</t>
        </r>
        <r>
          <rPr>
            <sz val="9"/>
            <color indexed="81"/>
            <rFont val="Tahoma"/>
            <family val="2"/>
          </rPr>
          <t>1. Maximum kW required to increase pool temperature from ambient to desired temperature
2. Multiply by 33% - this represents the kW required to make up the 33% daily heat loss from the pool
3. Multiply by 12 hours - this is the industry standard accepted running time</t>
        </r>
        <r>
          <rPr>
            <b/>
            <sz val="9"/>
            <color indexed="81"/>
            <rFont val="Tahoma"/>
            <family val="2"/>
          </rPr>
          <t xml:space="preserve">
Daily kW Req'd = Maximum Heat Up kW required x 33% x 12 hours</t>
        </r>
      </text>
    </comment>
  </commentList>
</comments>
</file>

<file path=xl/sharedStrings.xml><?xml version="1.0" encoding="utf-8"?>
<sst xmlns="http://schemas.openxmlformats.org/spreadsheetml/2006/main" count="256" uniqueCount="124">
  <si>
    <t>Prepared for:</t>
  </si>
  <si>
    <t>Date:</t>
  </si>
  <si>
    <t>Melbourne</t>
  </si>
  <si>
    <t>Adelaide</t>
  </si>
  <si>
    <t>Brisbane</t>
  </si>
  <si>
    <t>Perth</t>
  </si>
  <si>
    <t>Sydney</t>
  </si>
  <si>
    <t>Enter Swimming Pool Dimensions</t>
  </si>
  <si>
    <t>Average Length</t>
  </si>
  <si>
    <t>Average Width</t>
  </si>
  <si>
    <t>Average Depth</t>
  </si>
  <si>
    <t>Metres</t>
  </si>
  <si>
    <t>Heating Cost</t>
  </si>
  <si>
    <t>Enter Power Cost (cents per kW hour)</t>
  </si>
  <si>
    <t>Daily Cost to maintain Temperature</t>
  </si>
  <si>
    <t>Model</t>
  </si>
  <si>
    <t>Phase</t>
  </si>
  <si>
    <t>Single</t>
  </si>
  <si>
    <t>Three</t>
  </si>
  <si>
    <t>kw output cond'n 1</t>
  </si>
  <si>
    <t>kw output cond'n 2</t>
  </si>
  <si>
    <t>City</t>
  </si>
  <si>
    <t>degrees</t>
  </si>
  <si>
    <t>Step 1</t>
  </si>
  <si>
    <t>Step 2</t>
  </si>
  <si>
    <t>Step 3</t>
  </si>
  <si>
    <t>Step 5</t>
  </si>
  <si>
    <t>Step 4</t>
  </si>
  <si>
    <t>Notes:</t>
  </si>
  <si>
    <t>Enter Nearest Location or location with similar weather conditions</t>
  </si>
  <si>
    <t>****</t>
  </si>
  <si>
    <t>Ambient Condition 1 is 10 degree air temperature, 63% RH &amp; 27 degree entering water temperature</t>
  </si>
  <si>
    <t>Enter Data into Bluefields</t>
  </si>
  <si>
    <t>Avg. temperature rise per hour at ambient condition 1:</t>
  </si>
  <si>
    <t>Avg. temperature rise per hour at ambient condition 2:</t>
  </si>
  <si>
    <t>Enter Desired Swimming Temperature</t>
  </si>
  <si>
    <t>kW Required to Raise Water Temperature</t>
  </si>
  <si>
    <t>kW</t>
  </si>
  <si>
    <t xml:space="preserve">Select (nearest) Location </t>
  </si>
  <si>
    <t xml:space="preserve">If swimming is required all year round, or you are selecting for a commercial establishment that requires a guarranteed temperature all </t>
  </si>
  <si>
    <t xml:space="preserve">year round AstralPool recommend the use or a back up gas fired Heater.   </t>
  </si>
  <si>
    <t xml:space="preserve">Always consult your nearest AstralPool office when sizing heating for a commercial establishment.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</si>
  <si>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</si>
  <si>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</si>
  <si>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</si>
  <si>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</si>
  <si>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</si>
  <si>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</si>
  <si>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</si>
  <si>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</si>
  <si>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</si>
  <si>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</si>
  <si>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</si>
  <si>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</si>
  <si>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Heat Up Cost </t>
  </si>
  <si>
    <t>(in month on initial heat up)</t>
  </si>
  <si>
    <t>No Cover</t>
  </si>
  <si>
    <t>With Cover</t>
  </si>
  <si>
    <t>Monthly Cost to Heat</t>
  </si>
  <si>
    <t>Desired Temp</t>
  </si>
  <si>
    <t>A Division of</t>
  </si>
  <si>
    <t>Townsville</t>
  </si>
  <si>
    <t>Heat Pump Sizing Guide</t>
  </si>
  <si>
    <t>Ambient Condition 1 is 24 degree air temperature, 63% RH &amp; 27 degree entering water temperature</t>
  </si>
  <si>
    <t>hurl</t>
  </si>
  <si>
    <t>Extended selection</t>
  </si>
  <si>
    <t>All Year selection</t>
  </si>
  <si>
    <t>Extended Season</t>
  </si>
  <si>
    <t>All Year Round</t>
  </si>
  <si>
    <t>Desired temp less City Avg Temp</t>
  </si>
  <si>
    <t>Graph data - Unheated water</t>
  </si>
  <si>
    <t>City selection</t>
  </si>
  <si>
    <t>Graph data - Achievable Water Temp</t>
  </si>
  <si>
    <t>Achieved Water Temp - Extended Season</t>
  </si>
  <si>
    <t>Achieved Water Temp - Year Round Season</t>
  </si>
  <si>
    <t>** Row 15 &amp; 16 are now irrelevant **</t>
  </si>
  <si>
    <t>Achieved Water Temp - Solar Alternative</t>
  </si>
  <si>
    <t>Select your type of Swimming Season</t>
  </si>
  <si>
    <t>Litres</t>
  </si>
  <si>
    <t>Comfortable swimming temperature is 26-28 degrees.</t>
  </si>
  <si>
    <t>Solar alternative season is from October - March, Extended season is from Sept-April, All rear round is all year round.</t>
  </si>
  <si>
    <t>Peak Tarrif Electricity is generally approximatley 22-28 cents per kW hour</t>
  </si>
  <si>
    <t>the swimming season, these calculations assume that no blanket is used and the size of the heat pump is calculated also without a cover being used.</t>
  </si>
  <si>
    <t xml:space="preserve">******Note***** This sizing guide is indicative only.  In general, heat pumps are recommended replace or support solar heating or extend the swimming season to 8 or 9 months a year.    </t>
  </si>
  <si>
    <t>Annual Total</t>
  </si>
  <si>
    <t>Heat Pump - No Cover</t>
  </si>
  <si>
    <t>Indication</t>
  </si>
  <si>
    <t>Recommended Heat Pump Model  **</t>
  </si>
  <si>
    <t>Recommended Heat Pump Model (With Cover)  **</t>
  </si>
  <si>
    <t>Heat Pump - Cover</t>
  </si>
  <si>
    <t>** Recommended model is based on heat maintenance only. Additional time or kW required for initial / start of season heat up of your pool or spa</t>
  </si>
  <si>
    <t xml:space="preserve">AstralPool 47.0 KW Commercial </t>
  </si>
  <si>
    <t xml:space="preserve">AstralPool 58.0 KW Commercial </t>
  </si>
  <si>
    <t xml:space="preserve">AstralPool 95.0 KW Commercial </t>
  </si>
  <si>
    <t xml:space="preserve">AstralPool 120.0 KW Commercial </t>
  </si>
  <si>
    <t xml:space="preserve">AstralPool 145.0 KW Commercial </t>
  </si>
  <si>
    <t xml:space="preserve">AstralPool 220.0 KW Commercial </t>
  </si>
  <si>
    <t>The use of a thermal blanket may reduce operating costs by up to 40% however, as many pool owners leave the blanket off during</t>
  </si>
  <si>
    <t>Tasmania</t>
  </si>
  <si>
    <t>Inverter Heat Pump Top iHPT127</t>
  </si>
  <si>
    <t>Inverter Heat Pump Top iHPT168</t>
  </si>
  <si>
    <t>Inverter Heat Pump Top iHPT246</t>
  </si>
  <si>
    <t>Price List</t>
  </si>
  <si>
    <t>Product Code</t>
  </si>
  <si>
    <t>Prodcuct Description</t>
  </si>
  <si>
    <t xml:space="preserve">Standard Heat Pump 58.0 KW Commercial </t>
  </si>
  <si>
    <t xml:space="preserve">Standard Heat Pump 95.0 KW Commercial </t>
  </si>
  <si>
    <t xml:space="preserve">Standard Heat Pump 120.0 KW Commercial </t>
  </si>
  <si>
    <t xml:space="preserve">Standard Heat Pump 145.0 KW Commercial </t>
  </si>
  <si>
    <t xml:space="preserve">Standard Heat Pump 220.0 KW Commercial </t>
  </si>
  <si>
    <t xml:space="preserve">Standard Heat Pump 47.0 KW Commercial </t>
  </si>
  <si>
    <t>Inverter Heat Pump ECO IHP70</t>
  </si>
  <si>
    <t>Inverter Heat Pump ECO IHP90</t>
  </si>
  <si>
    <t>Inverter Heat Pump ECO IHP120</t>
  </si>
  <si>
    <t>Inverter Heat Pump ECO iHP70, Inverter Heat Pump ECO iHP90 or Viron Inverter Heat Pump iHP90</t>
  </si>
  <si>
    <t>Inverter Heat Pump ECO iHP120 or Viron Inverter Heat Pump iHP120 or Inverter Heat Pump Top iHPT127</t>
  </si>
  <si>
    <t>Viron Inverter Heat Pump iHP170 or Inverter Heat Pump Top iHPT168</t>
  </si>
  <si>
    <t>Viron Inverter Heat Pump iHP195</t>
  </si>
  <si>
    <t>Viron Inverter Heat Pump iHP242 or Inverter Heat Pump Top iHPT246</t>
  </si>
  <si>
    <t>Viron Inverter Heat Pump iHP283</t>
  </si>
  <si>
    <t>Viron Inverter Heat Pump iHP90</t>
  </si>
  <si>
    <t>Viron Inverter Heat Pump iHP120</t>
  </si>
  <si>
    <t>Viron Inverter Heat Pump iHP170</t>
  </si>
  <si>
    <t>Viron Inverter Heat Pump iHP242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</si>
</sst>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.0000_-;\-* #,##0.0000_-;_-* &quot;-&quot;??_-;_-@_-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30"/>
      <name val="Constantia"/>
      <family val="1"/>
    </font>
    <font>
      <sz val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color theme="0" tint="-0.499984740745262"/>
      <name val="Arial"/>
      <family val="2"/>
    </font>
    <font>
      <sz val="10"/>
      <color theme="6"/>
      <name val="Arial"/>
      <family val="2"/>
    </font>
    <font>
      <sz val="10"/>
      <color theme="4"/>
      <name val="Arial"/>
      <family val="2"/>
    </font>
    <font>
      <sz val="10"/>
      <color rgb="FF222222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thick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 style="thick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/>
    <xf numFmtId="0" fontId="6" fillId="3" borderId="1" xfId="0" applyFont="1" applyFill="1" applyBorder="1" applyAlignment="1">
      <alignment vertical="top" wrapText="1"/>
    </xf>
    <xf numFmtId="44" fontId="0" fillId="0" borderId="0" xfId="0" applyNumberFormat="1"/>
    <xf numFmtId="0" fontId="3" fillId="0" borderId="0" xfId="0" applyFont="1" applyAlignment="1">
      <alignment horizontal="center"/>
    </xf>
    <xf numFmtId="0" fontId="6" fillId="3" borderId="2" xfId="0" applyFont="1" applyFill="1" applyBorder="1" applyAlignment="1">
      <alignment vertical="top"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4" borderId="0" xfId="0" applyFill="1"/>
    <xf numFmtId="0" fontId="0" fillId="0" borderId="0" xfId="0" applyFill="1" applyBorder="1" applyProtection="1"/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1" fillId="2" borderId="9" xfId="0" applyFont="1" applyFill="1" applyBorder="1"/>
    <xf numFmtId="0" fontId="1" fillId="2" borderId="0" xfId="0" applyFont="1" applyFill="1"/>
    <xf numFmtId="0" fontId="1" fillId="0" borderId="0" xfId="0" applyFont="1"/>
    <xf numFmtId="0" fontId="1" fillId="4" borderId="0" xfId="0" applyFont="1" applyFill="1"/>
    <xf numFmtId="0" fontId="3" fillId="0" borderId="0" xfId="0" applyFont="1" applyFill="1"/>
    <xf numFmtId="0" fontId="6" fillId="3" borderId="10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2" borderId="8" xfId="0" applyNumberFormat="1" applyFill="1" applyBorder="1"/>
    <xf numFmtId="165" fontId="0" fillId="2" borderId="14" xfId="0" applyNumberFormat="1" applyFill="1" applyBorder="1"/>
    <xf numFmtId="165" fontId="0" fillId="4" borderId="0" xfId="0" applyNumberFormat="1" applyFill="1"/>
    <xf numFmtId="0" fontId="0" fillId="0" borderId="0" xfId="0" applyProtection="1"/>
    <xf numFmtId="0" fontId="3" fillId="0" borderId="0" xfId="0" applyFont="1" applyProtection="1"/>
    <xf numFmtId="0" fontId="5" fillId="0" borderId="0" xfId="0" applyFont="1" applyProtection="1"/>
    <xf numFmtId="0" fontId="0" fillId="0" borderId="0" xfId="0" applyFill="1" applyProtection="1"/>
    <xf numFmtId="0" fontId="4" fillId="0" borderId="0" xfId="0" applyFont="1" applyAlignment="1" applyProtection="1">
      <alignment horizontal="center"/>
    </xf>
    <xf numFmtId="0" fontId="4" fillId="0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4" fontId="3" fillId="0" borderId="0" xfId="2" applyFont="1" applyFill="1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center"/>
    </xf>
    <xf numFmtId="1" fontId="3" fillId="5" borderId="15" xfId="0" applyNumberFormat="1" applyFont="1" applyFill="1" applyBorder="1" applyProtection="1"/>
    <xf numFmtId="0" fontId="3" fillId="0" borderId="0" xfId="0" applyFont="1" applyAlignment="1" applyProtection="1">
      <alignment horizontal="right"/>
    </xf>
    <xf numFmtId="1" fontId="3" fillId="5" borderId="16" xfId="0" applyNumberFormat="1" applyFont="1" applyFill="1" applyBorder="1" applyProtection="1"/>
    <xf numFmtId="1" fontId="3" fillId="5" borderId="17" xfId="0" applyNumberFormat="1" applyFont="1" applyFill="1" applyBorder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4" fontId="3" fillId="5" borderId="18" xfId="2" applyFont="1" applyFill="1" applyBorder="1" applyProtection="1"/>
    <xf numFmtId="44" fontId="3" fillId="5" borderId="15" xfId="2" applyFont="1" applyFill="1" applyBorder="1" applyProtection="1"/>
    <xf numFmtId="44" fontId="3" fillId="5" borderId="19" xfId="2" applyFont="1" applyFill="1" applyBorder="1" applyProtection="1"/>
    <xf numFmtId="44" fontId="3" fillId="5" borderId="16" xfId="2" applyFont="1" applyFill="1" applyBorder="1" applyProtection="1"/>
    <xf numFmtId="44" fontId="3" fillId="5" borderId="20" xfId="2" applyFont="1" applyFill="1" applyBorder="1" applyProtection="1"/>
    <xf numFmtId="44" fontId="3" fillId="5" borderId="17" xfId="2" applyFont="1" applyFill="1" applyBorder="1" applyProtection="1"/>
    <xf numFmtId="44" fontId="3" fillId="5" borderId="15" xfId="0" applyNumberFormat="1" applyFont="1" applyFill="1" applyBorder="1" applyProtection="1"/>
    <xf numFmtId="44" fontId="3" fillId="5" borderId="16" xfId="0" applyNumberFormat="1" applyFont="1" applyFill="1" applyBorder="1" applyProtection="1"/>
    <xf numFmtId="44" fontId="3" fillId="5" borderId="17" xfId="0" applyNumberFormat="1" applyFont="1" applyFill="1" applyBorder="1" applyProtection="1"/>
    <xf numFmtId="43" fontId="3" fillId="5" borderId="21" xfId="1" applyFont="1" applyFill="1" applyBorder="1" applyAlignment="1" applyProtection="1">
      <alignment horizontal="right"/>
    </xf>
    <xf numFmtId="0" fontId="3" fillId="5" borderId="22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Border="1"/>
    <xf numFmtId="0" fontId="10" fillId="0" borderId="17" xfId="0" applyFont="1" applyBorder="1" applyAlignment="1" applyProtection="1">
      <alignment horizontal="center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164" fontId="8" fillId="6" borderId="23" xfId="1" applyNumberFormat="1" applyFont="1" applyFill="1" applyBorder="1" applyAlignment="1" applyProtection="1">
      <alignment horizontal="center"/>
      <protection locked="0"/>
    </xf>
    <xf numFmtId="44" fontId="3" fillId="7" borderId="23" xfId="0" applyNumberFormat="1" applyFont="1" applyFill="1" applyBorder="1" applyProtection="1"/>
    <xf numFmtId="43" fontId="0" fillId="0" borderId="0" xfId="0" applyNumberFormat="1" applyProtection="1"/>
    <xf numFmtId="0" fontId="0" fillId="0" borderId="0" xfId="0" applyFill="1" applyAlignment="1" applyProtection="1">
      <alignment vertical="center"/>
    </xf>
    <xf numFmtId="0" fontId="2" fillId="8" borderId="0" xfId="0" applyFont="1" applyFill="1" applyProtection="1"/>
    <xf numFmtId="3" fontId="8" fillId="6" borderId="23" xfId="1" applyNumberFormat="1" applyFont="1" applyFill="1" applyBorder="1" applyAlignment="1" applyProtection="1">
      <alignment horizontal="center"/>
    </xf>
    <xf numFmtId="0" fontId="0" fillId="0" borderId="26" xfId="0" applyFill="1" applyBorder="1" applyProtection="1"/>
    <xf numFmtId="0" fontId="1" fillId="0" borderId="27" xfId="0" applyFont="1" applyFill="1" applyBorder="1" applyProtection="1"/>
    <xf numFmtId="0" fontId="1" fillId="0" borderId="0" xfId="0" applyFont="1" applyFill="1" applyBorder="1" applyProtection="1"/>
    <xf numFmtId="0" fontId="3" fillId="0" borderId="27" xfId="0" applyFont="1" applyFill="1" applyBorder="1" applyProtection="1"/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28" xfId="0" applyFill="1" applyBorder="1" applyProtection="1"/>
    <xf numFmtId="0" fontId="3" fillId="0" borderId="29" xfId="0" applyFont="1" applyFill="1" applyBorder="1" applyProtection="1"/>
    <xf numFmtId="0" fontId="3" fillId="0" borderId="30" xfId="0" applyFont="1" applyFill="1" applyBorder="1" applyProtection="1"/>
    <xf numFmtId="0" fontId="1" fillId="0" borderId="31" xfId="0" applyFont="1" applyFill="1" applyBorder="1" applyProtection="1"/>
    <xf numFmtId="0" fontId="0" fillId="0" borderId="32" xfId="0" applyFill="1" applyBorder="1" applyProtection="1"/>
    <xf numFmtId="0" fontId="3" fillId="0" borderId="31" xfId="0" applyFont="1" applyFill="1" applyBorder="1" applyProtection="1"/>
    <xf numFmtId="0" fontId="3" fillId="0" borderId="32" xfId="0" applyFont="1" applyFill="1" applyBorder="1" applyProtection="1"/>
    <xf numFmtId="0" fontId="11" fillId="0" borderId="0" xfId="0" applyFont="1"/>
    <xf numFmtId="166" fontId="11" fillId="0" borderId="0" xfId="1" applyNumberFormat="1" applyFont="1" applyFill="1" applyBorder="1" applyAlignment="1" applyProtection="1">
      <alignment vertical="center"/>
    </xf>
    <xf numFmtId="0" fontId="12" fillId="0" borderId="0" xfId="0" applyFont="1"/>
    <xf numFmtId="166" fontId="12" fillId="0" borderId="0" xfId="1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 wrapText="1"/>
    </xf>
    <xf numFmtId="0" fontId="0" fillId="0" borderId="27" xfId="0" applyFill="1" applyBorder="1" applyProtection="1"/>
    <xf numFmtId="0" fontId="0" fillId="0" borderId="27" xfId="0" applyFill="1" applyBorder="1" applyAlignment="1" applyProtection="1">
      <alignment vertical="center"/>
    </xf>
    <xf numFmtId="0" fontId="0" fillId="8" borderId="0" xfId="0" applyFill="1"/>
    <xf numFmtId="0" fontId="0" fillId="0" borderId="31" xfId="0" applyFill="1" applyBorder="1" applyProtection="1"/>
    <xf numFmtId="0" fontId="0" fillId="0" borderId="31" xfId="0" applyFill="1" applyBorder="1" applyAlignment="1" applyProtection="1">
      <alignment vertical="center"/>
    </xf>
    <xf numFmtId="0" fontId="1" fillId="2" borderId="0" xfId="0" applyFont="1" applyFill="1" applyBorder="1"/>
    <xf numFmtId="165" fontId="0" fillId="2" borderId="0" xfId="0" applyNumberFormat="1" applyFill="1" applyBorder="1"/>
    <xf numFmtId="165" fontId="0" fillId="8" borderId="0" xfId="0" applyNumberFormat="1" applyFill="1" applyBorder="1" applyAlignment="1" applyProtection="1">
      <alignment horizontal="center"/>
    </xf>
    <xf numFmtId="165" fontId="0" fillId="8" borderId="0" xfId="0" applyNumberFormat="1" applyFill="1" applyBorder="1" applyAlignment="1" applyProtection="1">
      <alignment horizontal="center" vertical="center"/>
    </xf>
    <xf numFmtId="165" fontId="1" fillId="8" borderId="0" xfId="0" applyNumberFormat="1" applyFont="1" applyFill="1" applyBorder="1" applyAlignment="1" applyProtection="1">
      <alignment horizontal="center"/>
    </xf>
    <xf numFmtId="43" fontId="0" fillId="11" borderId="0" xfId="1" applyFont="1" applyFill="1"/>
    <xf numFmtId="44" fontId="0" fillId="11" borderId="0" xfId="2" applyFont="1" applyFill="1"/>
    <xf numFmtId="44" fontId="0" fillId="0" borderId="0" xfId="2" applyFont="1"/>
    <xf numFmtId="0" fontId="7" fillId="0" borderId="0" xfId="0" applyFont="1" applyAlignment="1">
      <alignment horizontal="center"/>
    </xf>
    <xf numFmtId="0" fontId="9" fillId="5" borderId="21" xfId="0" applyFont="1" applyFill="1" applyBorder="1" applyAlignment="1" applyProtection="1">
      <alignment horizontal="center" vertical="center" wrapText="1"/>
    </xf>
    <xf numFmtId="0" fontId="9" fillId="5" borderId="24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4" fillId="9" borderId="33" xfId="0" applyFont="1" applyFill="1" applyBorder="1" applyAlignment="1" applyProtection="1">
      <alignment horizontal="center" vertical="center"/>
    </xf>
    <xf numFmtId="0" fontId="14" fillId="9" borderId="34" xfId="0" applyFont="1" applyFill="1" applyBorder="1" applyAlignment="1" applyProtection="1">
      <alignment horizontal="center" vertical="center"/>
    </xf>
    <xf numFmtId="0" fontId="14" fillId="9" borderId="35" xfId="0" applyFont="1" applyFill="1" applyBorder="1" applyAlignment="1" applyProtection="1">
      <alignment horizontal="center" vertical="center"/>
    </xf>
    <xf numFmtId="0" fontId="14" fillId="10" borderId="36" xfId="0" applyFont="1" applyFill="1" applyBorder="1" applyAlignment="1" applyProtection="1">
      <alignment horizontal="center" vertical="center"/>
    </xf>
    <xf numFmtId="0" fontId="14" fillId="10" borderId="37" xfId="0" applyFont="1" applyFill="1" applyBorder="1" applyAlignment="1" applyProtection="1">
      <alignment horizontal="center" vertical="center"/>
    </xf>
    <xf numFmtId="0" fontId="14" fillId="10" borderId="38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kW required to Heat Pool on Initial Heat Up</a:t>
            </a:r>
          </a:p>
        </c:rich>
      </c:tx>
      <c:layout>
        <c:manualLayout>
          <c:xMode val="edge"/>
          <c:yMode val="edge"/>
          <c:x val="0.35413639666723074"/>
          <c:y val="4.1666775124183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4789550072596"/>
          <c:y val="0.22916759915201504"/>
          <c:w val="0.74310595065312146"/>
          <c:h val="0.50833540175537784"/>
        </c:manualLayout>
      </c:layout>
      <c:lineChart>
        <c:grouping val="standard"/>
        <c:varyColors val="0"/>
        <c:ser>
          <c:idx val="0"/>
          <c:order val="0"/>
          <c:tx>
            <c:strRef>
              <c:f>Calculation!$H$25</c:f>
              <c:strCache>
                <c:ptCount val="1"/>
                <c:pt idx="0">
                  <c:v>No Cover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strRef>
              <c:f>Calculation!$F$27:$F$38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Calculation!$H$27:$H$38</c:f>
              <c:numCache>
                <c:formatCode>0</c:formatCode>
                <c:ptCount val="12"/>
                <c:pt idx="0">
                  <c:v>687.29999999999984</c:v>
                </c:pt>
                <c:pt idx="1">
                  <c:v>713.4</c:v>
                </c:pt>
                <c:pt idx="2">
                  <c:v>904.79999999999984</c:v>
                </c:pt>
                <c:pt idx="3">
                  <c:v>1165.8</c:v>
                </c:pt>
                <c:pt idx="4">
                  <c:v>1461.6000000000001</c:v>
                </c:pt>
                <c:pt idx="5">
                  <c:v>1653</c:v>
                </c:pt>
                <c:pt idx="6">
                  <c:v>1722.6000000000001</c:v>
                </c:pt>
                <c:pt idx="7">
                  <c:v>1609.5</c:v>
                </c:pt>
                <c:pt idx="8">
                  <c:v>1400.7</c:v>
                </c:pt>
                <c:pt idx="9">
                  <c:v>1165.8</c:v>
                </c:pt>
                <c:pt idx="10">
                  <c:v>1000.5</c:v>
                </c:pt>
                <c:pt idx="11">
                  <c:v>826.5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13E-467A-9EA2-0D3D5D40B3E0}"/>
            </c:ext>
          </c:extLst>
        </c:ser>
        <c:ser>
          <c:idx val="1"/>
          <c:order val="1"/>
          <c:tx>
            <c:strRef>
              <c:f>Calculation!$I$25</c:f>
              <c:strCache>
                <c:ptCount val="1"/>
                <c:pt idx="0">
                  <c:v>With Cover</c:v>
                </c:pt>
              </c:strCache>
            </c:strRef>
          </c:tx>
          <c:spPr>
            <a:ln w="38100">
              <a:solidFill>
                <a:srgbClr val="F20884"/>
              </a:solidFill>
              <a:prstDash val="solid"/>
            </a:ln>
          </c:spPr>
          <c:marker>
            <c:symbol val="none"/>
          </c:marker>
          <c:val>
            <c:numRef>
              <c:f>Calculation!$I$27:$I$38</c:f>
              <c:numCache>
                <c:formatCode>0</c:formatCode>
                <c:ptCount val="12"/>
                <c:pt idx="0">
                  <c:v>412.37999999999988</c:v>
                </c:pt>
                <c:pt idx="1">
                  <c:v>428.03999999999996</c:v>
                </c:pt>
                <c:pt idx="2">
                  <c:v>542.87999999999988</c:v>
                </c:pt>
                <c:pt idx="3">
                  <c:v>699.4799999999999</c:v>
                </c:pt>
                <c:pt idx="4">
                  <c:v>876.96</c:v>
                </c:pt>
                <c:pt idx="5">
                  <c:v>991.8</c:v>
                </c:pt>
                <c:pt idx="6">
                  <c:v>1033.56</c:v>
                </c:pt>
                <c:pt idx="7">
                  <c:v>965.69999999999993</c:v>
                </c:pt>
                <c:pt idx="8">
                  <c:v>840.42</c:v>
                </c:pt>
                <c:pt idx="9">
                  <c:v>699.4799999999999</c:v>
                </c:pt>
                <c:pt idx="10">
                  <c:v>600.29999999999995</c:v>
                </c:pt>
                <c:pt idx="11">
                  <c:v>495.9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13E-467A-9EA2-0D3D5D40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441168"/>
        <c:axId val="269450504"/>
      </c:lineChart>
      <c:catAx>
        <c:axId val="26944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4847593165898508"/>
              <c:y val="0.850003687555584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450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450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kW for initial Heat Up</a:t>
                </a:r>
              </a:p>
            </c:rich>
          </c:tx>
          <c:layout>
            <c:manualLayout>
              <c:xMode val="edge"/>
              <c:yMode val="edge"/>
              <c:x val="2.3222008753330615E-2"/>
              <c:y val="0.27083490596733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441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85166455962914"/>
          <c:y val="0.48362378256436955"/>
          <c:w val="0.12792697373005368"/>
          <c:h val="0.221319277239105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Initial Heat up Cost in month of heating</a:t>
            </a:r>
          </a:p>
        </c:rich>
      </c:tx>
      <c:layout>
        <c:manualLayout>
          <c:xMode val="edge"/>
          <c:yMode val="edge"/>
          <c:x val="0.32220593269831044"/>
          <c:y val="3.594778375475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93759071117548E-2"/>
          <c:y val="0.215686962849018"/>
          <c:w val="0.73730043541364321"/>
          <c:h val="0.64052491997587324"/>
        </c:manualLayout>
      </c:layout>
      <c:lineChart>
        <c:grouping val="standard"/>
        <c:varyColors val="0"/>
        <c:ser>
          <c:idx val="0"/>
          <c:order val="0"/>
          <c:tx>
            <c:strRef>
              <c:f>Calculation!$H$51</c:f>
              <c:strCache>
                <c:ptCount val="1"/>
                <c:pt idx="0">
                  <c:v>No Cover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multiLvlStrRef>
              <c:f>Calculation!$F$52:$F$63</c:f>
            </c:multiLvlStrRef>
          </c:cat>
          <c:val>
            <c:numRef>
              <c:f>Calculation!$H$52:$H$63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CDC-47DA-BFB4-612A0D962B30}"/>
            </c:ext>
          </c:extLst>
        </c:ser>
        <c:ser>
          <c:idx val="1"/>
          <c:order val="1"/>
          <c:tx>
            <c:strRef>
              <c:f>Calculation!$I$51</c:f>
              <c:strCache>
                <c:ptCount val="1"/>
                <c:pt idx="0">
                  <c:v>With Cover</c:v>
                </c:pt>
              </c:strCache>
            </c:strRef>
          </c:tx>
          <c:spPr>
            <a:ln w="38100">
              <a:solidFill>
                <a:srgbClr val="F20884"/>
              </a:solidFill>
              <a:prstDash val="solid"/>
            </a:ln>
          </c:spPr>
          <c:marker>
            <c:symbol val="none"/>
          </c:marker>
          <c:val>
            <c:numRef>
              <c:f>Calculation!$I$52:$I$63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CDC-47DA-BFB4-612A0D962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579328"/>
        <c:axId val="269579712"/>
      </c:lineChart>
      <c:catAx>
        <c:axId val="2695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5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57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57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880527082452"/>
          <c:y val="0.55884202593487697"/>
          <c:w val="0.13788737405266793"/>
          <c:h val="0.183012568973432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Monthly Maintenance Heating Cost</a:t>
            </a:r>
          </a:p>
        </c:rich>
      </c:tx>
      <c:layout>
        <c:manualLayout>
          <c:xMode val="edge"/>
          <c:yMode val="edge"/>
          <c:x val="0.34542825279060912"/>
          <c:y val="3.67895369011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0203193033403"/>
          <c:y val="0.21739130434782611"/>
          <c:w val="0.75181422351233718"/>
          <c:h val="0.63545150501672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Temperatures!$C$50</c:f>
              <c:strCache>
                <c:ptCount val="1"/>
                <c:pt idx="0">
                  <c:v>No Cover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Calculation!$F$65:$F$76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Temperatures!$C$51:$C$62</c:f>
              <c:numCache>
                <c:formatCode>_("$"* #,##0.00_);_("$"* \(#,##0.00\);_("$"* "-"??_);_(@_)</c:formatCode>
                <c:ptCount val="12"/>
                <c:pt idx="0">
                  <c:v>357.94583999999986</c:v>
                </c:pt>
                <c:pt idx="1">
                  <c:v>335.58336000000003</c:v>
                </c:pt>
                <c:pt idx="2">
                  <c:v>471.21983999999986</c:v>
                </c:pt>
                <c:pt idx="3">
                  <c:v>587.56319999999994</c:v>
                </c:pt>
                <c:pt idx="4">
                  <c:v>951.50160000000005</c:v>
                </c:pt>
                <c:pt idx="5">
                  <c:v>1041.3899999999999</c:v>
                </c:pt>
                <c:pt idx="6">
                  <c:v>1121.4125999999999</c:v>
                </c:pt>
                <c:pt idx="7">
                  <c:v>1047.7844999999998</c:v>
                </c:pt>
                <c:pt idx="8">
                  <c:v>911.85569999999984</c:v>
                </c:pt>
                <c:pt idx="9">
                  <c:v>587.56319999999994</c:v>
                </c:pt>
                <c:pt idx="10">
                  <c:v>521.06039999999996</c:v>
                </c:pt>
                <c:pt idx="11">
                  <c:v>430.44119999999998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0E-4CE5-AE18-DAD58B06393D}"/>
            </c:ext>
          </c:extLst>
        </c:ser>
        <c:ser>
          <c:idx val="1"/>
          <c:order val="1"/>
          <c:tx>
            <c:strRef>
              <c:f>Temperatures!$D$50</c:f>
              <c:strCache>
                <c:ptCount val="1"/>
                <c:pt idx="0">
                  <c:v>With Cover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Calculation!$F$65:$F$76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Temperatures!$D$51:$D$62</c:f>
              <c:numCache>
                <c:formatCode>_("$"* #,##0.00_);_("$"* \(#,##0.00\);_("$"* "-"??_);_(@_)</c:formatCode>
                <c:ptCount val="12"/>
                <c:pt idx="0">
                  <c:v>214.76750399999989</c:v>
                </c:pt>
                <c:pt idx="1">
                  <c:v>222.92323200000001</c:v>
                </c:pt>
                <c:pt idx="2">
                  <c:v>282.73190399999993</c:v>
                </c:pt>
                <c:pt idx="3">
                  <c:v>364.28918399999998</c:v>
                </c:pt>
                <c:pt idx="4">
                  <c:v>570.90095999999994</c:v>
                </c:pt>
                <c:pt idx="5">
                  <c:v>645.66179999999986</c:v>
                </c:pt>
                <c:pt idx="6">
                  <c:v>672.84755999999993</c:v>
                </c:pt>
                <c:pt idx="7">
                  <c:v>628.67069999999978</c:v>
                </c:pt>
                <c:pt idx="8">
                  <c:v>547.11341999999991</c:v>
                </c:pt>
                <c:pt idx="9">
                  <c:v>364.28918399999998</c:v>
                </c:pt>
                <c:pt idx="10">
                  <c:v>312.63623999999999</c:v>
                </c:pt>
                <c:pt idx="11">
                  <c:v>258.26471999999995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0E-4CE5-AE18-DAD58B06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18768"/>
        <c:axId val="269619152"/>
      </c:barChart>
      <c:catAx>
        <c:axId val="2696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61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61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61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55281520490302"/>
          <c:y val="0.50503420970683754"/>
          <c:w val="0.1160877226675292"/>
          <c:h val="0.17391948040393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Temperature Chart</a:t>
            </a:r>
          </a:p>
        </c:rich>
      </c:tx>
      <c:layout>
        <c:manualLayout>
          <c:xMode val="edge"/>
          <c:yMode val="edge"/>
          <c:x val="0.4202903046210133"/>
          <c:y val="3.77357963334431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507367396070469E-2"/>
          <c:y val="0.21886832780868201"/>
          <c:w val="0.74818973961049695"/>
          <c:h val="0.62893200614074185"/>
        </c:manualLayout>
      </c:layout>
      <c:lineChart>
        <c:grouping val="standard"/>
        <c:varyColors val="0"/>
        <c:ser>
          <c:idx val="0"/>
          <c:order val="0"/>
          <c:tx>
            <c:strRef>
              <c:f>Temperatures!$A$2</c:f>
              <c:strCache>
                <c:ptCount val="1"/>
                <c:pt idx="0">
                  <c:v>Desired Temp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strRef>
              <c:f>Temperatures!$B$4:$M$4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Temperatures!$B$2:$M$2</c:f>
              <c:numCache>
                <c:formatCode>General</c:formatCode>
                <c:ptCount val="12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74-495E-8ACF-EDCABD814946}"/>
            </c:ext>
          </c:extLst>
        </c:ser>
        <c:ser>
          <c:idx val="1"/>
          <c:order val="1"/>
          <c:tx>
            <c:v>Unheated Pool Temperature</c:v>
          </c:tx>
          <c:spPr>
            <a:ln w="38100">
              <a:solidFill>
                <a:srgbClr val="F20884"/>
              </a:solidFill>
              <a:prstDash val="solid"/>
            </a:ln>
          </c:spPr>
          <c:marker>
            <c:symbol val="none"/>
          </c:marker>
          <c:val>
            <c:numRef>
              <c:f>Temperatures!$B$12:$M$12</c:f>
              <c:numCache>
                <c:formatCode>General</c:formatCode>
                <c:ptCount val="12"/>
                <c:pt idx="0">
                  <c:v>20.100000000000001</c:v>
                </c:pt>
                <c:pt idx="1">
                  <c:v>19.8</c:v>
                </c:pt>
                <c:pt idx="2">
                  <c:v>17.600000000000001</c:v>
                </c:pt>
                <c:pt idx="3">
                  <c:v>14.6</c:v>
                </c:pt>
                <c:pt idx="4">
                  <c:v>11.2</c:v>
                </c:pt>
                <c:pt idx="5">
                  <c:v>9</c:v>
                </c:pt>
                <c:pt idx="6">
                  <c:v>8.1999999999999993</c:v>
                </c:pt>
                <c:pt idx="7">
                  <c:v>9.5</c:v>
                </c:pt>
                <c:pt idx="8">
                  <c:v>11.9</c:v>
                </c:pt>
                <c:pt idx="9">
                  <c:v>14.6</c:v>
                </c:pt>
                <c:pt idx="10">
                  <c:v>16.5</c:v>
                </c:pt>
                <c:pt idx="11">
                  <c:v>18.5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474-495E-8ACF-EDCABD814946}"/>
            </c:ext>
          </c:extLst>
        </c:ser>
        <c:ser>
          <c:idx val="2"/>
          <c:order val="2"/>
          <c:tx>
            <c:v>Acheived Water Temperature with Heat Pump</c:v>
          </c:tx>
          <c:spPr>
            <a:ln w="38100">
              <a:solidFill>
                <a:srgbClr val="FCF305"/>
              </a:solidFill>
              <a:prstDash val="solid"/>
            </a:ln>
          </c:spPr>
          <c:marker>
            <c:symbol val="none"/>
          </c:marker>
          <c:val>
            <c:numRef>
              <c:f>Temperatures!$B$43:$M$43</c:f>
              <c:numCache>
                <c:formatCode>0.0</c:formatCode>
                <c:ptCount val="12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474-495E-8ACF-EDCABD814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90048"/>
        <c:axId val="269999704"/>
      </c:lineChart>
      <c:catAx>
        <c:axId val="26999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37894045441289537"/>
              <c:y val="0.91446683233036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999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999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Degrees C</a:t>
                </a:r>
              </a:p>
            </c:rich>
          </c:tx>
          <c:layout>
            <c:manualLayout>
              <c:xMode val="edge"/>
              <c:yMode val="edge"/>
              <c:x val="2.3188048463639015E-2"/>
              <c:y val="0.39622725866491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999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907288104138"/>
          <c:y val="0.20677344989670968"/>
          <c:w val="0.1263776876375301"/>
          <c:h val="0.67671347165254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chart" Target="../charts/chart3.xml"/><Relationship Id="rId7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jpe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99</xdr:row>
      <xdr:rowOff>0</xdr:rowOff>
    </xdr:from>
    <xdr:to>
      <xdr:col>8</xdr:col>
      <xdr:colOff>495300</xdr:colOff>
      <xdr:row>113</xdr:row>
      <xdr:rowOff>57150</xdr:rowOff>
    </xdr:to>
    <xdr:graphicFrame macro="">
      <xdr:nvGraphicFramePr>
        <xdr:cNvPr id="1921" name="Chart 28">
          <a:extLst>
            <a:ext uri="{FF2B5EF4-FFF2-40B4-BE49-F238E27FC236}">
              <a16:creationId xmlns="" xmlns:a16="http://schemas.microsoft.com/office/drawing/2014/main" id="{40E336C9-1587-406F-B98E-354005905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119</xdr:row>
      <xdr:rowOff>66675</xdr:rowOff>
    </xdr:from>
    <xdr:to>
      <xdr:col>8</xdr:col>
      <xdr:colOff>419100</xdr:colOff>
      <xdr:row>137</xdr:row>
      <xdr:rowOff>66675</xdr:rowOff>
    </xdr:to>
    <xdr:graphicFrame macro="">
      <xdr:nvGraphicFramePr>
        <xdr:cNvPr id="1922" name="Chart 29">
          <a:extLst>
            <a:ext uri="{FF2B5EF4-FFF2-40B4-BE49-F238E27FC236}">
              <a16:creationId xmlns="" xmlns:a16="http://schemas.microsoft.com/office/drawing/2014/main" id="{4C325599-1A60-46DE-8A6A-27A9E392D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138</xdr:row>
      <xdr:rowOff>28575</xdr:rowOff>
    </xdr:from>
    <xdr:to>
      <xdr:col>8</xdr:col>
      <xdr:colOff>419100</xdr:colOff>
      <xdr:row>155</xdr:row>
      <xdr:rowOff>123825</xdr:rowOff>
    </xdr:to>
    <xdr:graphicFrame macro="">
      <xdr:nvGraphicFramePr>
        <xdr:cNvPr id="1923" name="Chart 30">
          <a:extLst>
            <a:ext uri="{FF2B5EF4-FFF2-40B4-BE49-F238E27FC236}">
              <a16:creationId xmlns="" xmlns:a16="http://schemas.microsoft.com/office/drawing/2014/main" id="{D0018FFA-EBA2-4D46-89A9-449AFBE9E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82</xdr:row>
      <xdr:rowOff>142875</xdr:rowOff>
    </xdr:from>
    <xdr:to>
      <xdr:col>8</xdr:col>
      <xdr:colOff>495300</xdr:colOff>
      <xdr:row>98</xdr:row>
      <xdr:rowOff>85725</xdr:rowOff>
    </xdr:to>
    <xdr:graphicFrame macro="">
      <xdr:nvGraphicFramePr>
        <xdr:cNvPr id="1924" name="Chart 31">
          <a:extLst>
            <a:ext uri="{FF2B5EF4-FFF2-40B4-BE49-F238E27FC236}">
              <a16:creationId xmlns="" xmlns:a16="http://schemas.microsoft.com/office/drawing/2014/main" id="{BD1EE797-2F02-4F69-BC89-1592B541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0</xdr:row>
      <xdr:rowOff>28575</xdr:rowOff>
    </xdr:from>
    <xdr:to>
      <xdr:col>2</xdr:col>
      <xdr:colOff>76200</xdr:colOff>
      <xdr:row>2</xdr:row>
      <xdr:rowOff>57150</xdr:rowOff>
    </xdr:to>
    <xdr:pic>
      <xdr:nvPicPr>
        <xdr:cNvPr id="1925" name="Picture 35" descr="Logo_Astralpool_800">
          <a:extLst>
            <a:ext uri="{FF2B5EF4-FFF2-40B4-BE49-F238E27FC236}">
              <a16:creationId xmlns="" xmlns:a16="http://schemas.microsoft.com/office/drawing/2014/main" id="{1180D02F-B08B-4967-85A0-E15DB3D8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47</xdr:row>
      <xdr:rowOff>28575</xdr:rowOff>
    </xdr:from>
    <xdr:to>
      <xdr:col>2</xdr:col>
      <xdr:colOff>180975</xdr:colOff>
      <xdr:row>49</xdr:row>
      <xdr:rowOff>85725</xdr:rowOff>
    </xdr:to>
    <xdr:pic>
      <xdr:nvPicPr>
        <xdr:cNvPr id="1927" name="Picture 38" descr="Logo_Astralpool_800">
          <a:extLst>
            <a:ext uri="{FF2B5EF4-FFF2-40B4-BE49-F238E27FC236}">
              <a16:creationId xmlns="" xmlns:a16="http://schemas.microsoft.com/office/drawing/2014/main" id="{BD6A459F-67CB-463C-B48E-E6CD8579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896350"/>
          <a:ext cx="2190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115</xdr:row>
      <xdr:rowOff>66675</xdr:rowOff>
    </xdr:from>
    <xdr:to>
      <xdr:col>2</xdr:col>
      <xdr:colOff>285750</xdr:colOff>
      <xdr:row>117</xdr:row>
      <xdr:rowOff>85725</xdr:rowOff>
    </xdr:to>
    <xdr:pic>
      <xdr:nvPicPr>
        <xdr:cNvPr id="1928" name="Picture 48" descr="Logo_Astralpool_800">
          <a:extLst>
            <a:ext uri="{FF2B5EF4-FFF2-40B4-BE49-F238E27FC236}">
              <a16:creationId xmlns="" xmlns:a16="http://schemas.microsoft.com/office/drawing/2014/main" id="{5B783096-169D-41EE-ABB4-49109CA9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21550"/>
          <a:ext cx="2266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3</xdr:row>
      <xdr:rowOff>57150</xdr:rowOff>
    </xdr:from>
    <xdr:to>
      <xdr:col>9</xdr:col>
      <xdr:colOff>257175</xdr:colOff>
      <xdr:row>15</xdr:row>
      <xdr:rowOff>76200</xdr:rowOff>
    </xdr:to>
    <xdr:pic>
      <xdr:nvPicPr>
        <xdr:cNvPr id="1929" name="1 Imagen">
          <a:extLst>
            <a:ext uri="{FF2B5EF4-FFF2-40B4-BE49-F238E27FC236}">
              <a16:creationId xmlns="" xmlns:a16="http://schemas.microsoft.com/office/drawing/2014/main" id="{0BC4FE5D-9F92-4CB8-AFA9-3B72BDB5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542925"/>
          <a:ext cx="2867025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556260</xdr:colOff>
      <xdr:row>175</xdr:row>
      <xdr:rowOff>59662</xdr:rowOff>
    </xdr:from>
    <xdr:to>
      <xdr:col>8</xdr:col>
      <xdr:colOff>352425</xdr:colOff>
      <xdr:row>177</xdr:row>
      <xdr:rowOff>66675</xdr:rowOff>
    </xdr:to>
    <xdr:pic>
      <xdr:nvPicPr>
        <xdr:cNvPr id="11" name="Picture 10" descr="Image result for new fluidr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27453562"/>
          <a:ext cx="1122045" cy="32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N175"/>
  <sheetViews>
    <sheetView showGridLines="0" tabSelected="1" zoomScale="125" zoomScaleNormal="125" zoomScaleSheetLayoutView="100" workbookViewId="0">
      <selection activeCell="D8" sqref="D8"/>
    </sheetView>
  </sheetViews>
  <sheetFormatPr defaultColWidth="8.7109375" defaultRowHeight="12.75" outlineLevelRow="1" x14ac:dyDescent="0.2"/>
  <cols>
    <col min="1" max="1" width="11.42578125" customWidth="1"/>
    <col min="2" max="2" width="19" customWidth="1"/>
    <col min="3" max="3" width="23" customWidth="1"/>
    <col min="4" max="4" width="23.7109375" customWidth="1"/>
    <col min="5" max="5" width="8.7109375" customWidth="1"/>
    <col min="6" max="6" width="12" customWidth="1"/>
    <col min="7" max="7" width="9.140625" customWidth="1"/>
    <col min="8" max="8" width="10.7109375" customWidth="1"/>
    <col min="9" max="9" width="11" bestFit="1" customWidth="1"/>
  </cols>
  <sheetData>
    <row r="1" spans="1:14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">
      <c r="A4" s="33" t="s">
        <v>62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3.5" thickBo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3.5" thickBot="1" x14ac:dyDescent="0.25">
      <c r="A8" s="34" t="s">
        <v>23</v>
      </c>
      <c r="B8" s="34" t="s">
        <v>38</v>
      </c>
      <c r="C8" s="32"/>
      <c r="D8" s="67" t="s">
        <v>2</v>
      </c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33.950000000000003" customHeight="1" x14ac:dyDescent="0.2">
      <c r="A9" s="32"/>
      <c r="B9" s="32"/>
      <c r="C9" s="35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x14ac:dyDescent="0.2">
      <c r="A10" s="32"/>
      <c r="B10" s="32"/>
      <c r="C10" s="35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2">
      <c r="A11" s="32"/>
      <c r="B11" s="32"/>
      <c r="C11" s="3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2">
      <c r="A12" s="32"/>
      <c r="B12" s="32"/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2.75" customHeight="1" x14ac:dyDescent="0.2">
      <c r="A13" s="32"/>
      <c r="B13" s="32"/>
      <c r="C13" s="32"/>
      <c r="D13" s="32"/>
      <c r="E13" s="36"/>
      <c r="F13" s="32"/>
      <c r="G13" s="37"/>
      <c r="H13" s="32"/>
      <c r="I13" s="32"/>
      <c r="J13" s="32"/>
      <c r="K13" s="32"/>
      <c r="L13" s="32"/>
      <c r="M13" s="32"/>
      <c r="N13" s="32"/>
    </row>
    <row r="14" spans="1:14" ht="31.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3.5" customHeight="1" thickBot="1" x14ac:dyDescent="0.25">
      <c r="A15" s="34" t="s">
        <v>24</v>
      </c>
      <c r="B15" s="34" t="s">
        <v>7</v>
      </c>
      <c r="C15" s="34"/>
      <c r="D15" s="38" t="s">
        <v>11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3.5" thickBot="1" x14ac:dyDescent="0.25">
      <c r="A16" s="32"/>
      <c r="B16" s="32"/>
      <c r="C16" s="32" t="s">
        <v>8</v>
      </c>
      <c r="D16" s="67">
        <v>10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3.5" thickBot="1" x14ac:dyDescent="0.25">
      <c r="A17" s="32"/>
      <c r="B17" s="32"/>
      <c r="C17" s="32"/>
      <c r="D17" s="39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3.5" thickBot="1" x14ac:dyDescent="0.25">
      <c r="A18" s="32"/>
      <c r="B18" s="32"/>
      <c r="C18" s="32" t="s">
        <v>9</v>
      </c>
      <c r="D18" s="67">
        <v>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3.5" thickBot="1" x14ac:dyDescent="0.25">
      <c r="A19" s="32"/>
      <c r="B19" s="32"/>
      <c r="C19" s="32"/>
      <c r="D19" s="39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3.5" thickBot="1" x14ac:dyDescent="0.25">
      <c r="A20" s="32"/>
      <c r="B20" s="32"/>
      <c r="C20" s="32" t="s">
        <v>10</v>
      </c>
      <c r="D20" s="67">
        <v>1.5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3.5" thickBot="1" x14ac:dyDescent="0.25">
      <c r="A21" s="32"/>
      <c r="B21" s="32"/>
      <c r="C21" s="32"/>
      <c r="D21" s="40"/>
      <c r="E21" s="32"/>
      <c r="F21" s="32"/>
      <c r="G21" s="32"/>
      <c r="H21" s="32"/>
      <c r="I21" s="32"/>
      <c r="J21" s="32"/>
      <c r="K21" s="71"/>
      <c r="L21" s="32"/>
      <c r="M21" s="32"/>
      <c r="N21" s="32"/>
    </row>
    <row r="22" spans="1:14" ht="13.5" thickBot="1" x14ac:dyDescent="0.25">
      <c r="A22" s="32"/>
      <c r="B22" s="32"/>
      <c r="C22" s="32" t="s">
        <v>78</v>
      </c>
      <c r="D22" s="74">
        <f>D16*D18*D20*1000</f>
        <v>75000</v>
      </c>
      <c r="E22" s="32"/>
      <c r="F22" s="32"/>
      <c r="G22" s="32"/>
      <c r="H22" s="32"/>
      <c r="I22" s="32"/>
      <c r="J22" s="32"/>
      <c r="K22" s="71"/>
      <c r="L22" s="32"/>
      <c r="M22" s="32"/>
      <c r="N22" s="32"/>
    </row>
    <row r="23" spans="1:14" ht="13.5" thickBot="1" x14ac:dyDescent="0.25">
      <c r="A23" s="32"/>
      <c r="B23" s="32"/>
      <c r="C23" s="32"/>
      <c r="D23" s="40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3.5" thickBot="1" x14ac:dyDescent="0.25">
      <c r="A24" s="34" t="s">
        <v>25</v>
      </c>
      <c r="B24" s="34" t="s">
        <v>35</v>
      </c>
      <c r="C24" s="34"/>
      <c r="D24" s="67">
        <v>28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3.5" thickBot="1" x14ac:dyDescent="0.25">
      <c r="A25" s="34"/>
      <c r="B25" s="34"/>
      <c r="C25" s="34"/>
      <c r="D25" s="16"/>
      <c r="E25" s="32"/>
      <c r="F25" s="32"/>
      <c r="G25" s="32"/>
      <c r="H25" s="41" t="s">
        <v>56</v>
      </c>
      <c r="I25" s="42" t="s">
        <v>57</v>
      </c>
      <c r="J25" s="32"/>
      <c r="K25" s="32"/>
      <c r="L25" s="32"/>
      <c r="M25" s="32"/>
      <c r="N25" s="32"/>
    </row>
    <row r="26" spans="1:14" ht="13.5" thickBot="1" x14ac:dyDescent="0.25">
      <c r="A26" s="32" t="s">
        <v>27</v>
      </c>
      <c r="B26" s="63" t="s">
        <v>77</v>
      </c>
      <c r="C26" s="32"/>
      <c r="D26" s="68" t="s">
        <v>68</v>
      </c>
      <c r="E26" s="32"/>
      <c r="F26" s="32"/>
      <c r="G26" s="32"/>
      <c r="H26" s="43" t="s">
        <v>37</v>
      </c>
      <c r="I26" s="43" t="s">
        <v>37</v>
      </c>
      <c r="J26" s="43"/>
      <c r="K26" s="32"/>
      <c r="L26" s="32"/>
      <c r="M26" s="33"/>
      <c r="N26" s="32"/>
    </row>
    <row r="27" spans="1:14" ht="13.5" thickBot="1" x14ac:dyDescent="0.25">
      <c r="A27" s="32"/>
      <c r="B27" s="32"/>
      <c r="C27" s="32"/>
      <c r="D27" s="66" t="str">
        <f>IF(D26="Extended Season","Jan to Apr and Sept to Dec",IF(D26="Solar Alternative","Jan to Mar and Oct to Dec","Jan to Dec"))</f>
        <v>Jan to Dec</v>
      </c>
      <c r="E27" s="32"/>
      <c r="F27" s="32" t="s">
        <v>42</v>
      </c>
      <c r="G27" s="32"/>
      <c r="H27" s="44">
        <f>IF(D$16*D$18*D$20*1.16*(Temperatures!B43-Temperatures!B12)&lt;0,0,D$16*D$18*D$20*1.16*(Temperatures!B43-Temperatures!B12))</f>
        <v>687.29999999999984</v>
      </c>
      <c r="I27" s="44">
        <f>H27*(1-40%)</f>
        <v>412.37999999999988</v>
      </c>
      <c r="J27" s="32"/>
      <c r="K27" s="32"/>
      <c r="L27" s="32"/>
      <c r="M27" s="32"/>
      <c r="N27" s="32"/>
    </row>
    <row r="28" spans="1:14" x14ac:dyDescent="0.2">
      <c r="A28" s="32"/>
      <c r="B28" s="33"/>
      <c r="C28" s="45" t="s">
        <v>36</v>
      </c>
      <c r="D28" s="33"/>
      <c r="E28" s="32"/>
      <c r="F28" s="32" t="s">
        <v>43</v>
      </c>
      <c r="G28" s="32"/>
      <c r="H28" s="46">
        <f>IF(D$16*D$18*D$20*1.16*(Temperatures!C43-Temperatures!C12)&lt;0,0,D$16*D$18*D$20*1.16*(Temperatures!C43-Temperatures!C12))</f>
        <v>713.4</v>
      </c>
      <c r="I28" s="46">
        <f t="shared" ref="I28:I38" si="0">H28*(1-40%)</f>
        <v>428.03999999999996</v>
      </c>
      <c r="J28" s="32"/>
      <c r="K28" s="32"/>
      <c r="L28" s="32"/>
      <c r="M28" s="32"/>
      <c r="N28" s="32"/>
    </row>
    <row r="29" spans="1:14" x14ac:dyDescent="0.2">
      <c r="A29" s="32"/>
      <c r="B29" s="33"/>
      <c r="C29" s="45"/>
      <c r="D29" s="33"/>
      <c r="E29" s="32"/>
      <c r="F29" s="32" t="s">
        <v>44</v>
      </c>
      <c r="G29" s="32"/>
      <c r="H29" s="46">
        <f>IF(D$16*D$18*D$20*1.16*(Temperatures!D43-Temperatures!D12)&lt;0,0,D$16*D$18*D$20*1.16*(Temperatures!D43-Temperatures!D12))</f>
        <v>904.79999999999984</v>
      </c>
      <c r="I29" s="46">
        <f t="shared" si="0"/>
        <v>542.87999999999988</v>
      </c>
      <c r="J29" s="32"/>
      <c r="K29" s="32"/>
      <c r="L29" s="32"/>
      <c r="M29" s="32"/>
      <c r="N29" s="32"/>
    </row>
    <row r="30" spans="1:14" x14ac:dyDescent="0.2">
      <c r="A30" s="32"/>
      <c r="B30" s="33"/>
      <c r="C30" s="45"/>
      <c r="D30" s="33"/>
      <c r="E30" s="32"/>
      <c r="F30" s="32" t="s">
        <v>45</v>
      </c>
      <c r="G30" s="32"/>
      <c r="H30" s="46">
        <f>IF($D$26="Solar Alternative",0,IF(D$16*D$18*D$20*1.16*(Temperatures!E43-Temperatures!E12)&lt;0,0,D$16*D$18*D$20*1.16*(Temperatures!E43-Temperatures!E12)))</f>
        <v>1165.8</v>
      </c>
      <c r="I30" s="46">
        <f t="shared" si="0"/>
        <v>699.4799999999999</v>
      </c>
      <c r="J30" s="32"/>
      <c r="K30" s="32"/>
      <c r="L30" s="32"/>
      <c r="M30" s="32"/>
      <c r="N30" s="32"/>
    </row>
    <row r="31" spans="1:14" x14ac:dyDescent="0.2">
      <c r="A31" s="32"/>
      <c r="B31" s="33"/>
      <c r="C31" s="45"/>
      <c r="D31" s="33"/>
      <c r="E31" s="32"/>
      <c r="F31" s="32" t="s">
        <v>46</v>
      </c>
      <c r="G31" s="32"/>
      <c r="H31" s="46">
        <f>IF($D$26="Solar Alternative",0,IF($D$26="Extended Season",0,IF(D$16*D$18*D$20*1.16*(Temperatures!F43-Temperatures!F12)&lt;0,0,D$16*D$18*D$20*1.16*(Temperatures!F43-Temperatures!F12))))</f>
        <v>1461.6000000000001</v>
      </c>
      <c r="I31" s="46">
        <f t="shared" si="0"/>
        <v>876.96</v>
      </c>
      <c r="J31" s="32"/>
      <c r="K31" s="32"/>
      <c r="L31" s="32"/>
      <c r="M31" s="32"/>
      <c r="N31" s="32"/>
    </row>
    <row r="32" spans="1:14" x14ac:dyDescent="0.2">
      <c r="A32" s="32"/>
      <c r="B32" s="33"/>
      <c r="C32" s="45"/>
      <c r="D32" s="33"/>
      <c r="E32" s="32"/>
      <c r="F32" s="32" t="s">
        <v>47</v>
      </c>
      <c r="G32" s="32"/>
      <c r="H32" s="46">
        <f>IF($D$26="Solar Alternative",0,IF($D$26="Extended Season",0,IF(D$16*D$18*D$20*1.16*(Temperatures!G43-Temperatures!G12)&lt;0,0,D$16*D$18*D$20*1.16*(Temperatures!G43-Temperatures!G12))))</f>
        <v>1653</v>
      </c>
      <c r="I32" s="46">
        <f t="shared" si="0"/>
        <v>991.8</v>
      </c>
      <c r="J32" s="32"/>
      <c r="K32" s="32"/>
      <c r="L32" s="32"/>
      <c r="M32" s="32"/>
      <c r="N32" s="32"/>
    </row>
    <row r="33" spans="1:14" x14ac:dyDescent="0.2">
      <c r="A33" s="32"/>
      <c r="B33" s="33"/>
      <c r="C33" s="45"/>
      <c r="D33" s="33"/>
      <c r="E33" s="32"/>
      <c r="F33" s="32" t="s">
        <v>48</v>
      </c>
      <c r="G33" s="32"/>
      <c r="H33" s="46">
        <f>IF($D$26="Solar Alternative",0,IF($D$26="Extended Season",0,IF(D$16*D$18*D$20*1.16*(Temperatures!H43-Temperatures!H12)&lt;0,0,D$16*D$18*D$20*1.16*(Temperatures!H43-Temperatures!H12))))</f>
        <v>1722.6000000000001</v>
      </c>
      <c r="I33" s="46">
        <f t="shared" si="0"/>
        <v>1033.56</v>
      </c>
      <c r="J33" s="32"/>
      <c r="K33" s="32"/>
      <c r="L33" s="32"/>
      <c r="M33" s="32"/>
      <c r="N33" s="32"/>
    </row>
    <row r="34" spans="1:14" x14ac:dyDescent="0.2">
      <c r="A34" s="32"/>
      <c r="B34" s="33"/>
      <c r="C34" s="45"/>
      <c r="D34" s="33"/>
      <c r="E34" s="32"/>
      <c r="F34" s="32" t="s">
        <v>49</v>
      </c>
      <c r="G34" s="32"/>
      <c r="H34" s="46">
        <f>IF($D$26="Solar Alternative",0,IF($D$26="Extended Season",0,IF(D$16*D$18*D$20*1.16*(Temperatures!I43-Temperatures!I12)&lt;0,0,D$16*D$18*D$20*1.16*(Temperatures!I43-Temperatures!I12))))</f>
        <v>1609.5</v>
      </c>
      <c r="I34" s="46">
        <f t="shared" si="0"/>
        <v>965.69999999999993</v>
      </c>
      <c r="J34" s="32"/>
      <c r="K34" s="32"/>
      <c r="L34" s="32"/>
      <c r="M34" s="32"/>
      <c r="N34" s="32"/>
    </row>
    <row r="35" spans="1:14" x14ac:dyDescent="0.2">
      <c r="A35" s="32"/>
      <c r="B35" s="33"/>
      <c r="C35" s="45"/>
      <c r="D35" s="33"/>
      <c r="E35" s="32"/>
      <c r="F35" s="32" t="s">
        <v>50</v>
      </c>
      <c r="G35" s="32"/>
      <c r="H35" s="46">
        <f>IF($D$26="Solar Alternative",0,IF(D$16*D$18*D$20*1.16*(Temperatures!J43-Temperatures!J12)&lt;0,0,D$16*D$18*D$20*1.16*(Temperatures!J43-Temperatures!J12)))</f>
        <v>1400.7</v>
      </c>
      <c r="I35" s="46">
        <f t="shared" si="0"/>
        <v>840.42</v>
      </c>
      <c r="J35" s="32"/>
      <c r="K35" s="32"/>
      <c r="L35" s="32"/>
      <c r="M35" s="32"/>
      <c r="N35" s="32"/>
    </row>
    <row r="36" spans="1:14" x14ac:dyDescent="0.2">
      <c r="A36" s="32"/>
      <c r="B36" s="33"/>
      <c r="C36" s="45"/>
      <c r="D36" s="33"/>
      <c r="E36" s="32"/>
      <c r="F36" s="32" t="s">
        <v>51</v>
      </c>
      <c r="G36" s="32"/>
      <c r="H36" s="46">
        <f>IF(D$16*D$18*D$20*1.16*(Temperatures!K43-Temperatures!K12)&lt;0,0,D$16*D$18*D$20*1.16*(Temperatures!K43-Temperatures!K12))</f>
        <v>1165.8</v>
      </c>
      <c r="I36" s="46">
        <f t="shared" si="0"/>
        <v>699.4799999999999</v>
      </c>
      <c r="J36" s="32"/>
      <c r="K36" s="32"/>
      <c r="L36" s="32"/>
      <c r="M36" s="32"/>
      <c r="N36" s="32"/>
    </row>
    <row r="37" spans="1:14" x14ac:dyDescent="0.2">
      <c r="A37" s="32"/>
      <c r="B37" s="33"/>
      <c r="C37" s="45"/>
      <c r="D37" s="33"/>
      <c r="E37" s="32"/>
      <c r="F37" s="32" t="s">
        <v>52</v>
      </c>
      <c r="G37" s="32"/>
      <c r="H37" s="46">
        <f>IF(D$16*D$18*D$20*1.16*(Temperatures!L43-Temperatures!L12)&lt;0,0,D$16*D$18*D$20*1.16*(Temperatures!L43-Temperatures!L12))</f>
        <v>1000.5</v>
      </c>
      <c r="I37" s="46">
        <f t="shared" si="0"/>
        <v>600.29999999999995</v>
      </c>
      <c r="J37" s="32"/>
      <c r="K37" s="32"/>
      <c r="L37" s="32"/>
      <c r="M37" s="32"/>
      <c r="N37" s="32"/>
    </row>
    <row r="38" spans="1:14" ht="13.5" thickBot="1" x14ac:dyDescent="0.25">
      <c r="A38" s="32"/>
      <c r="B38" s="33"/>
      <c r="C38" s="45"/>
      <c r="D38" s="33"/>
      <c r="E38" s="32"/>
      <c r="F38" s="32" t="s">
        <v>53</v>
      </c>
      <c r="G38" s="32"/>
      <c r="H38" s="47">
        <f>IF(D$16*D$18*D$20*1.16*(Temperatures!M43-Temperatures!M12)&lt;0,0,D$16*D$18*D$20*1.16*(Temperatures!M43-Temperatures!M12))</f>
        <v>826.5</v>
      </c>
      <c r="I38" s="47">
        <f t="shared" si="0"/>
        <v>495.9</v>
      </c>
      <c r="J38" s="32"/>
      <c r="K38" s="32"/>
      <c r="L38" s="32"/>
      <c r="M38" s="32"/>
      <c r="N38" s="32"/>
    </row>
    <row r="39" spans="1:14" x14ac:dyDescent="0.2">
      <c r="A39" s="32"/>
      <c r="B39" s="33"/>
      <c r="C39" s="45"/>
      <c r="D39" s="33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13.5" thickBo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27.75" customHeight="1" thickBot="1" x14ac:dyDescent="0.25">
      <c r="A41" s="32"/>
      <c r="B41" s="49" t="s">
        <v>87</v>
      </c>
      <c r="C41" s="35"/>
      <c r="D41" s="32"/>
      <c r="E41" s="33"/>
      <c r="F41" s="107" t="str">
        <f>IF($D$26='Model selection'!$C$4,VLOOKUP(1,'Model selection'!$E:$F,2,FALSE),VLOOKUP(1,'Model selection'!$D:$F,3,FALSE))</f>
        <v xml:space="preserve">Standard Heat Pump 47.0 KW Commercial </v>
      </c>
      <c r="G41" s="108"/>
      <c r="H41" s="108"/>
      <c r="I41" s="109"/>
      <c r="J41" s="32"/>
      <c r="K41" s="32"/>
      <c r="L41" s="32"/>
      <c r="M41" s="32"/>
      <c r="N41" s="32"/>
    </row>
    <row r="42" spans="1:14" ht="27.75" customHeight="1" thickBot="1" x14ac:dyDescent="0.25">
      <c r="A42" s="48"/>
      <c r="B42" s="49" t="s">
        <v>88</v>
      </c>
      <c r="C42" s="49"/>
      <c r="D42" s="49"/>
      <c r="E42" s="48"/>
      <c r="F42" s="107" t="str">
        <f>IF($D$26='Model selection'!$C$4,VLOOKUP(1,'Model selection'!$K:$L,2,FALSE),VLOOKUP(1,'Model selection'!$J:$L,3,FALSE))</f>
        <v>Viron Inverter Heat Pump iHP283</v>
      </c>
      <c r="G42" s="108"/>
      <c r="H42" s="108"/>
      <c r="I42" s="109"/>
      <c r="J42" s="32"/>
      <c r="K42" s="32"/>
      <c r="L42" s="32"/>
      <c r="M42" s="32"/>
      <c r="N42" s="32"/>
    </row>
    <row r="43" spans="1:14" x14ac:dyDescent="0.2">
      <c r="A43" s="73" t="s">
        <v>90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s="17" customFormat="1" ht="27" customHeight="1" x14ac:dyDescent="0.2">
      <c r="J44" s="48"/>
      <c r="K44" s="48"/>
      <c r="L44" s="48"/>
      <c r="M44" s="48"/>
      <c r="N44" s="48"/>
    </row>
    <row r="45" spans="1:14" ht="13.5" customHeight="1" x14ac:dyDescent="0.2">
      <c r="J45" s="32"/>
      <c r="K45" s="32"/>
      <c r="L45" s="32"/>
      <c r="M45" s="32"/>
      <c r="N45" s="32"/>
    </row>
    <row r="46" spans="1:14" ht="13.5" thickBot="1" x14ac:dyDescent="0.25">
      <c r="A46" s="32" t="s">
        <v>12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13.5" thickBot="1" x14ac:dyDescent="0.25">
      <c r="A47" s="33" t="s">
        <v>26</v>
      </c>
      <c r="B47" s="33" t="s">
        <v>13</v>
      </c>
      <c r="C47" s="32"/>
      <c r="D47" s="69">
        <v>28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2">
      <c r="A48" s="33"/>
      <c r="B48" s="33"/>
      <c r="C48" s="32"/>
      <c r="D48" s="33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x14ac:dyDescent="0.2">
      <c r="A49" s="33"/>
      <c r="B49" s="33"/>
      <c r="C49" s="32"/>
      <c r="D49" s="33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x14ac:dyDescent="0.2">
      <c r="A50" s="33"/>
      <c r="B50" s="33"/>
      <c r="C50" s="32"/>
      <c r="D50" s="33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13.5" hidden="1" outlineLevel="1" thickBot="1" x14ac:dyDescent="0.25">
      <c r="A51" s="33"/>
      <c r="B51" s="33"/>
      <c r="C51" s="32"/>
      <c r="D51" s="33"/>
      <c r="E51" s="32"/>
      <c r="F51" s="32"/>
      <c r="G51" s="32"/>
      <c r="H51" s="41" t="s">
        <v>56</v>
      </c>
      <c r="I51" s="42" t="s">
        <v>57</v>
      </c>
      <c r="J51" s="32"/>
      <c r="K51" s="32"/>
      <c r="L51" s="32"/>
      <c r="M51" s="32"/>
      <c r="N51" s="32"/>
    </row>
    <row r="52" spans="1:14" hidden="1" outlineLevel="1" x14ac:dyDescent="0.2">
      <c r="A52" s="32"/>
      <c r="B52" s="32"/>
      <c r="C52" s="32"/>
      <c r="D52" s="33"/>
      <c r="E52" s="33"/>
      <c r="F52" s="32" t="s">
        <v>42</v>
      </c>
      <c r="G52" s="32"/>
      <c r="H52" s="50">
        <f>H27*$D$47/100/4.8</f>
        <v>40.092499999999987</v>
      </c>
      <c r="I52" s="51">
        <f>I27*$D$47/100/5</f>
        <v>23.093279999999993</v>
      </c>
      <c r="J52" s="32"/>
      <c r="K52" s="32"/>
      <c r="L52" s="32"/>
      <c r="M52" s="32"/>
      <c r="N52" s="32"/>
    </row>
    <row r="53" spans="1:14" hidden="1" outlineLevel="1" x14ac:dyDescent="0.2">
      <c r="A53" s="32"/>
      <c r="B53" s="33" t="s">
        <v>54</v>
      </c>
      <c r="C53" s="33"/>
      <c r="D53" s="33"/>
      <c r="E53" s="33"/>
      <c r="F53" s="32" t="s">
        <v>43</v>
      </c>
      <c r="G53" s="32"/>
      <c r="H53" s="52">
        <f>H28*$D$47/100/4.8</f>
        <v>41.615000000000002</v>
      </c>
      <c r="I53" s="53">
        <f>I28*$D$47/100/5</f>
        <v>23.970239999999997</v>
      </c>
      <c r="J53" s="32"/>
      <c r="K53" s="32"/>
      <c r="L53" s="32"/>
      <c r="M53" s="32"/>
      <c r="N53" s="32"/>
    </row>
    <row r="54" spans="1:14" hidden="1" outlineLevel="1" x14ac:dyDescent="0.2">
      <c r="A54" s="32"/>
      <c r="B54" s="33" t="s">
        <v>55</v>
      </c>
      <c r="C54" s="33"/>
      <c r="D54" s="33"/>
      <c r="E54" s="33"/>
      <c r="F54" s="32" t="s">
        <v>44</v>
      </c>
      <c r="G54" s="32"/>
      <c r="H54" s="52">
        <f>H29*$D$47/100/4.8</f>
        <v>52.779999999999987</v>
      </c>
      <c r="I54" s="53">
        <f>I29*$D$47/100/5</f>
        <v>30.401279999999993</v>
      </c>
      <c r="J54" s="32"/>
      <c r="K54" s="32"/>
      <c r="L54" s="32"/>
      <c r="M54" s="32"/>
      <c r="N54" s="32"/>
    </row>
    <row r="55" spans="1:14" hidden="1" outlineLevel="1" x14ac:dyDescent="0.2">
      <c r="A55" s="32"/>
      <c r="B55" s="33"/>
      <c r="C55" s="33"/>
      <c r="D55" s="33"/>
      <c r="E55" s="33"/>
      <c r="F55" s="32" t="s">
        <v>45</v>
      </c>
      <c r="G55" s="32"/>
      <c r="H55" s="52">
        <f>H30*$D$47/100/4.8</f>
        <v>68.004999999999995</v>
      </c>
      <c r="I55" s="53">
        <f>I30*$D$47/100/5</f>
        <v>39.170879999999997</v>
      </c>
      <c r="J55" s="32"/>
      <c r="K55" s="32"/>
      <c r="L55" s="32"/>
      <c r="M55" s="32"/>
      <c r="N55" s="32"/>
    </row>
    <row r="56" spans="1:14" hidden="1" outlineLevel="1" x14ac:dyDescent="0.2">
      <c r="A56" s="32"/>
      <c r="B56" s="33"/>
      <c r="C56" s="33"/>
      <c r="D56" s="33"/>
      <c r="E56" s="33"/>
      <c r="F56" s="32" t="s">
        <v>46</v>
      </c>
      <c r="G56" s="32"/>
      <c r="H56" s="52">
        <f>IF($D$26="Extended Season",0,H31*$D$47/100/4)</f>
        <v>102.31200000000001</v>
      </c>
      <c r="I56" s="53">
        <f>IF($D$26="Extended Season",0,I31*$D$47/100/4)</f>
        <v>61.3872</v>
      </c>
      <c r="J56" s="32"/>
      <c r="K56" s="32"/>
      <c r="L56" s="32"/>
      <c r="M56" s="32"/>
      <c r="N56" s="32"/>
    </row>
    <row r="57" spans="1:14" hidden="1" outlineLevel="1" x14ac:dyDescent="0.2">
      <c r="A57" s="32"/>
      <c r="B57" s="33"/>
      <c r="C57" s="33"/>
      <c r="D57" s="33"/>
      <c r="E57" s="33"/>
      <c r="F57" s="32" t="s">
        <v>47</v>
      </c>
      <c r="G57" s="32"/>
      <c r="H57" s="52">
        <f t="shared" ref="H57:I59" si="1">IF($D$26="Extended Season",0,H32*$D$47/100/4)</f>
        <v>115.71</v>
      </c>
      <c r="I57" s="53">
        <f t="shared" si="1"/>
        <v>69.425999999999988</v>
      </c>
      <c r="J57" s="32"/>
      <c r="K57" s="32"/>
      <c r="L57" s="32"/>
      <c r="M57" s="32"/>
      <c r="N57" s="32"/>
    </row>
    <row r="58" spans="1:14" hidden="1" outlineLevel="1" x14ac:dyDescent="0.2">
      <c r="A58" s="32"/>
      <c r="B58" s="33"/>
      <c r="C58" s="33"/>
      <c r="D58" s="33"/>
      <c r="E58" s="33"/>
      <c r="F58" s="32" t="s">
        <v>48</v>
      </c>
      <c r="G58" s="32"/>
      <c r="H58" s="52">
        <f t="shared" si="1"/>
        <v>120.58200000000001</v>
      </c>
      <c r="I58" s="53">
        <f t="shared" si="1"/>
        <v>72.349199999999996</v>
      </c>
      <c r="J58" s="32"/>
      <c r="K58" s="32"/>
      <c r="L58" s="32"/>
      <c r="M58" s="32"/>
      <c r="N58" s="32"/>
    </row>
    <row r="59" spans="1:14" hidden="1" outlineLevel="1" x14ac:dyDescent="0.2">
      <c r="A59" s="32"/>
      <c r="B59" s="33"/>
      <c r="C59" s="33"/>
      <c r="D59" s="33"/>
      <c r="E59" s="33"/>
      <c r="F59" s="32" t="s">
        <v>49</v>
      </c>
      <c r="G59" s="32"/>
      <c r="H59" s="52">
        <f t="shared" si="1"/>
        <v>112.66500000000001</v>
      </c>
      <c r="I59" s="53">
        <f t="shared" si="1"/>
        <v>67.59899999999999</v>
      </c>
      <c r="J59" s="32"/>
      <c r="K59" s="32"/>
      <c r="L59" s="32"/>
      <c r="M59" s="32"/>
      <c r="N59" s="32"/>
    </row>
    <row r="60" spans="1:14" hidden="1" outlineLevel="1" x14ac:dyDescent="0.2">
      <c r="A60" s="32"/>
      <c r="B60" s="33"/>
      <c r="C60" s="33"/>
      <c r="D60" s="33"/>
      <c r="E60" s="33"/>
      <c r="F60" s="32" t="s">
        <v>50</v>
      </c>
      <c r="G60" s="32"/>
      <c r="H60" s="52">
        <f>H35*$D$47/100/4</f>
        <v>98.048999999999992</v>
      </c>
      <c r="I60" s="53">
        <f>I35*$D$47/100/4</f>
        <v>58.829399999999993</v>
      </c>
      <c r="J60" s="32"/>
      <c r="K60" s="32"/>
      <c r="L60" s="32"/>
      <c r="M60" s="32"/>
      <c r="N60" s="32"/>
    </row>
    <row r="61" spans="1:14" hidden="1" outlineLevel="1" x14ac:dyDescent="0.2">
      <c r="A61" s="32"/>
      <c r="B61" s="33"/>
      <c r="C61" s="33"/>
      <c r="D61" s="33"/>
      <c r="E61" s="33"/>
      <c r="F61" s="32" t="s">
        <v>51</v>
      </c>
      <c r="G61" s="32"/>
      <c r="H61" s="52">
        <f>H36*$D$47/100/4.8</f>
        <v>68.004999999999995</v>
      </c>
      <c r="I61" s="53">
        <f>I36*$D$47/100/5</f>
        <v>39.170879999999997</v>
      </c>
      <c r="J61" s="32"/>
      <c r="K61" s="32"/>
      <c r="L61" s="32"/>
      <c r="M61" s="32"/>
      <c r="N61" s="32"/>
    </row>
    <row r="62" spans="1:14" hidden="1" outlineLevel="1" x14ac:dyDescent="0.2">
      <c r="A62" s="32"/>
      <c r="B62" s="33"/>
      <c r="C62" s="33"/>
      <c r="D62" s="33"/>
      <c r="E62" s="33"/>
      <c r="F62" s="32" t="s">
        <v>52</v>
      </c>
      <c r="G62" s="32"/>
      <c r="H62" s="52">
        <f>H37*$D$47/100/4.8</f>
        <v>58.362499999999997</v>
      </c>
      <c r="I62" s="53">
        <f>I37*$D$47/100/5</f>
        <v>33.616799999999998</v>
      </c>
      <c r="J62" s="32"/>
      <c r="K62" s="32"/>
      <c r="L62" s="32"/>
      <c r="M62" s="32"/>
      <c r="N62" s="32"/>
    </row>
    <row r="63" spans="1:14" ht="13.5" hidden="1" outlineLevel="1" thickBot="1" x14ac:dyDescent="0.25">
      <c r="A63" s="32"/>
      <c r="B63" s="33"/>
      <c r="C63" s="33"/>
      <c r="D63" s="33"/>
      <c r="E63" s="32"/>
      <c r="F63" s="32" t="s">
        <v>53</v>
      </c>
      <c r="G63" s="32"/>
      <c r="H63" s="54">
        <f>H38*$D$47/100/4.8</f>
        <v>48.212499999999999</v>
      </c>
      <c r="I63" s="55">
        <f>I38*$D$47/100/5</f>
        <v>27.770399999999995</v>
      </c>
      <c r="J63" s="32"/>
      <c r="K63" s="32"/>
      <c r="L63" s="32"/>
      <c r="M63" s="32"/>
      <c r="N63" s="32"/>
    </row>
    <row r="64" spans="1:14" ht="13.5" collapsed="1" thickBot="1" x14ac:dyDescent="0.25">
      <c r="A64" s="32"/>
      <c r="B64" s="32"/>
      <c r="C64" s="32"/>
      <c r="D64" s="32"/>
      <c r="E64" s="32"/>
      <c r="F64" s="32"/>
      <c r="G64" s="32"/>
      <c r="H64" s="41" t="s">
        <v>56</v>
      </c>
      <c r="I64" s="42" t="s">
        <v>57</v>
      </c>
      <c r="J64" s="32"/>
      <c r="K64" s="32"/>
      <c r="L64" s="32"/>
      <c r="M64" s="32"/>
      <c r="N64" s="32"/>
    </row>
    <row r="65" spans="1:14" x14ac:dyDescent="0.2">
      <c r="A65" s="32"/>
      <c r="B65" s="32"/>
      <c r="C65" s="32"/>
      <c r="D65" s="32"/>
      <c r="E65" s="33"/>
      <c r="F65" s="32" t="s">
        <v>42</v>
      </c>
      <c r="G65" s="32"/>
      <c r="H65" s="51">
        <f>(H27*0.3)/5*$D$47/100</f>
        <v>11.546639999999995</v>
      </c>
      <c r="I65" s="56">
        <f>H65*0.6</f>
        <v>6.9279839999999968</v>
      </c>
      <c r="J65" s="32"/>
      <c r="K65" s="32"/>
      <c r="L65" s="32"/>
      <c r="M65" s="32"/>
      <c r="N65" s="32"/>
    </row>
    <row r="66" spans="1:14" x14ac:dyDescent="0.2">
      <c r="A66" s="32"/>
      <c r="B66" s="33" t="s">
        <v>14</v>
      </c>
      <c r="C66" s="33"/>
      <c r="D66" s="33"/>
      <c r="E66" s="33"/>
      <c r="F66" s="32" t="s">
        <v>43</v>
      </c>
      <c r="G66" s="32"/>
      <c r="H66" s="53">
        <f>(H28*0.3)/5*$D$47/100</f>
        <v>11.98512</v>
      </c>
      <c r="I66" s="57">
        <f t="shared" ref="I66:I76" si="2">H66*0.6</f>
        <v>7.1910720000000001</v>
      </c>
      <c r="J66" s="32"/>
      <c r="K66" s="32"/>
      <c r="L66" s="32"/>
      <c r="M66" s="32"/>
      <c r="N66" s="32"/>
    </row>
    <row r="67" spans="1:14" x14ac:dyDescent="0.2">
      <c r="A67" s="32"/>
      <c r="B67" s="33"/>
      <c r="C67" s="33"/>
      <c r="D67" s="33"/>
      <c r="E67" s="33"/>
      <c r="F67" s="32" t="s">
        <v>44</v>
      </c>
      <c r="G67" s="32"/>
      <c r="H67" s="53">
        <f>(H29*0.3)/5*$D$47/100</f>
        <v>15.200639999999996</v>
      </c>
      <c r="I67" s="57">
        <f t="shared" si="2"/>
        <v>9.1203839999999978</v>
      </c>
      <c r="J67" s="32"/>
      <c r="K67" s="32"/>
      <c r="L67" s="32"/>
      <c r="M67" s="32"/>
      <c r="N67" s="32"/>
    </row>
    <row r="68" spans="1:14" x14ac:dyDescent="0.2">
      <c r="A68" s="32"/>
      <c r="B68" s="33"/>
      <c r="C68" s="33"/>
      <c r="D68" s="33"/>
      <c r="E68" s="33"/>
      <c r="F68" s="32" t="s">
        <v>45</v>
      </c>
      <c r="G68" s="32"/>
      <c r="H68" s="53">
        <f>(H30*0.3)/5*$D$47/100</f>
        <v>19.585439999999998</v>
      </c>
      <c r="I68" s="57">
        <f t="shared" si="2"/>
        <v>11.751263999999999</v>
      </c>
      <c r="J68" s="32"/>
      <c r="K68" s="32"/>
      <c r="L68" s="32"/>
      <c r="M68" s="32"/>
      <c r="N68" s="32"/>
    </row>
    <row r="69" spans="1:14" x14ac:dyDescent="0.2">
      <c r="A69" s="32"/>
      <c r="B69" s="33"/>
      <c r="C69" s="33"/>
      <c r="D69" s="33"/>
      <c r="E69" s="33"/>
      <c r="F69" s="32" t="s">
        <v>46</v>
      </c>
      <c r="G69" s="32"/>
      <c r="H69" s="53">
        <f>IF($D$26="Extended Season",0,(H31*0.3)/4*$D$47/100)</f>
        <v>30.6936</v>
      </c>
      <c r="I69" s="57">
        <f t="shared" si="2"/>
        <v>18.416159999999998</v>
      </c>
      <c r="J69" s="32"/>
      <c r="K69" s="32"/>
      <c r="L69" s="32"/>
      <c r="M69" s="32"/>
      <c r="N69" s="32"/>
    </row>
    <row r="70" spans="1:14" x14ac:dyDescent="0.2">
      <c r="A70" s="32"/>
      <c r="B70" s="33"/>
      <c r="C70" s="33"/>
      <c r="D70" s="33"/>
      <c r="E70" s="33"/>
      <c r="F70" s="32" t="s">
        <v>47</v>
      </c>
      <c r="G70" s="32"/>
      <c r="H70" s="53">
        <f>IF($D$26="Extended Season",0,(H32*0.3)/4*$D$47/100)</f>
        <v>34.712999999999994</v>
      </c>
      <c r="I70" s="57">
        <f t="shared" si="2"/>
        <v>20.827799999999996</v>
      </c>
      <c r="J70" s="32"/>
      <c r="K70" s="32"/>
      <c r="L70" s="32"/>
      <c r="M70" s="32"/>
      <c r="N70" s="32"/>
    </row>
    <row r="71" spans="1:14" x14ac:dyDescent="0.2">
      <c r="A71" s="32"/>
      <c r="B71" s="33"/>
      <c r="C71" s="33"/>
      <c r="D71" s="33"/>
      <c r="E71" s="33"/>
      <c r="F71" s="32" t="s">
        <v>48</v>
      </c>
      <c r="G71" s="32"/>
      <c r="H71" s="53">
        <f>IF($D$26="Extended Season",0,(H33*0.3)/4*$D$47/100)</f>
        <v>36.174599999999998</v>
      </c>
      <c r="I71" s="57">
        <f t="shared" si="2"/>
        <v>21.704759999999997</v>
      </c>
      <c r="J71" s="32"/>
      <c r="K71" s="32"/>
      <c r="L71" s="32"/>
      <c r="M71" s="32"/>
      <c r="N71" s="32"/>
    </row>
    <row r="72" spans="1:14" x14ac:dyDescent="0.2">
      <c r="A72" s="32"/>
      <c r="B72" s="33"/>
      <c r="C72" s="33"/>
      <c r="D72" s="33"/>
      <c r="E72" s="33"/>
      <c r="F72" s="32" t="s">
        <v>49</v>
      </c>
      <c r="G72" s="32"/>
      <c r="H72" s="53">
        <f>IF($D$26="Extended Season",0,(H34*0.3)/4*$D$47/100)</f>
        <v>33.799499999999995</v>
      </c>
      <c r="I72" s="57">
        <f t="shared" si="2"/>
        <v>20.279699999999995</v>
      </c>
      <c r="J72" s="32"/>
      <c r="K72" s="32"/>
      <c r="L72" s="32"/>
      <c r="M72" s="32"/>
      <c r="N72" s="32"/>
    </row>
    <row r="73" spans="1:14" x14ac:dyDescent="0.2">
      <c r="A73" s="32"/>
      <c r="B73" s="33"/>
      <c r="C73" s="33"/>
      <c r="D73" s="33"/>
      <c r="E73" s="33"/>
      <c r="F73" s="32" t="s">
        <v>50</v>
      </c>
      <c r="G73" s="32"/>
      <c r="H73" s="53">
        <f>IF($D$26="Extended Season",0,(H35*0.3)/4*$D$47/100)</f>
        <v>29.414699999999996</v>
      </c>
      <c r="I73" s="57">
        <f t="shared" si="2"/>
        <v>17.648819999999997</v>
      </c>
      <c r="J73" s="32"/>
      <c r="K73" s="32"/>
      <c r="L73" s="32"/>
      <c r="M73" s="32"/>
      <c r="N73" s="32"/>
    </row>
    <row r="74" spans="1:14" x14ac:dyDescent="0.2">
      <c r="A74" s="32"/>
      <c r="B74" s="33"/>
      <c r="C74" s="33"/>
      <c r="D74" s="33"/>
      <c r="E74" s="33"/>
      <c r="F74" s="32" t="s">
        <v>51</v>
      </c>
      <c r="G74" s="32"/>
      <c r="H74" s="53">
        <f>(H36*0.3)/5*$D$47/100</f>
        <v>19.585439999999998</v>
      </c>
      <c r="I74" s="57">
        <f t="shared" si="2"/>
        <v>11.751263999999999</v>
      </c>
      <c r="J74" s="32"/>
      <c r="K74" s="32"/>
      <c r="L74" s="32"/>
      <c r="M74" s="32"/>
      <c r="N74" s="32"/>
    </row>
    <row r="75" spans="1:14" x14ac:dyDescent="0.2">
      <c r="A75" s="32"/>
      <c r="B75" s="33"/>
      <c r="C75" s="33"/>
      <c r="D75" s="33"/>
      <c r="E75" s="33"/>
      <c r="F75" s="32" t="s">
        <v>52</v>
      </c>
      <c r="G75" s="32"/>
      <c r="H75" s="53">
        <f>(H37*0.3)/5*$D$47/100</f>
        <v>16.808399999999999</v>
      </c>
      <c r="I75" s="57">
        <f t="shared" si="2"/>
        <v>10.085039999999999</v>
      </c>
      <c r="J75" s="32"/>
      <c r="K75" s="32"/>
      <c r="L75" s="32"/>
      <c r="M75" s="32"/>
      <c r="N75" s="32"/>
    </row>
    <row r="76" spans="1:14" ht="13.5" thickBot="1" x14ac:dyDescent="0.25">
      <c r="A76" s="32"/>
      <c r="B76" s="33"/>
      <c r="C76" s="33"/>
      <c r="D76" s="33"/>
      <c r="E76" s="32"/>
      <c r="F76" s="32" t="s">
        <v>53</v>
      </c>
      <c r="G76" s="32"/>
      <c r="H76" s="55">
        <f>(H38*0.3)/5*$D$47/100</f>
        <v>13.885199999999999</v>
      </c>
      <c r="I76" s="58">
        <f t="shared" si="2"/>
        <v>8.3311199999999985</v>
      </c>
      <c r="J76" s="32"/>
      <c r="K76" s="32"/>
      <c r="L76" s="32"/>
      <c r="M76" s="32"/>
      <c r="N76" s="32"/>
    </row>
    <row r="77" spans="1:14" ht="13.5" thickBot="1" x14ac:dyDescent="0.25">
      <c r="A77" s="32"/>
      <c r="B77" s="32"/>
      <c r="C77" s="32"/>
      <c r="D77" s="32"/>
      <c r="E77" s="32"/>
      <c r="F77" s="32" t="s">
        <v>84</v>
      </c>
      <c r="G77" s="32"/>
      <c r="H77" s="70">
        <f>(H65*31)+(H66*28)+(H67*31)+(H74*31)+(H75*30)+(H76*31)+(H68*30)+(H70*31)+(H71*31)+(H73*30)+(H72*30)</f>
        <v>7388.0956799999985</v>
      </c>
      <c r="I77" s="70">
        <f>(I65*31)+(I66*28)+(I67*31)+(I74*31)+(I75*30)+(I76*31)+(I68*30)+(I70*31)+(I71*31)+(I73*30)+(I72*30)</f>
        <v>4432.8574079999989</v>
      </c>
      <c r="J77" s="32"/>
      <c r="K77" s="32"/>
      <c r="L77" s="32"/>
      <c r="M77" s="32"/>
      <c r="N77" s="32"/>
    </row>
    <row r="78" spans="1:14" ht="13.5" thickBo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13.5" thickBot="1" x14ac:dyDescent="0.25">
      <c r="A79" s="32" t="s">
        <v>30</v>
      </c>
      <c r="B79" s="33" t="s">
        <v>33</v>
      </c>
      <c r="C79" s="32"/>
      <c r="D79" s="32"/>
      <c r="E79" s="32"/>
      <c r="F79" s="32"/>
      <c r="G79" s="32"/>
      <c r="H79" s="59">
        <f>1/(((($D$16*$D$18*$D$20)*1.16)/SUMIF('Model selection'!$F$6:$F$18,$F$41,'Model selection'!$B$6:$B$18))*1.3)</f>
        <v>0.4500442086648983</v>
      </c>
      <c r="I79" s="60" t="s">
        <v>22</v>
      </c>
      <c r="J79" s="32"/>
      <c r="K79" s="32"/>
      <c r="L79" s="32"/>
      <c r="M79" s="32"/>
      <c r="N79" s="32"/>
    </row>
    <row r="80" spans="1:14" ht="13.5" thickBot="1" x14ac:dyDescent="0.25">
      <c r="A80" s="32"/>
      <c r="B80" s="33" t="s">
        <v>34</v>
      </c>
      <c r="C80" s="32"/>
      <c r="D80" s="32"/>
      <c r="E80" s="32"/>
      <c r="F80" s="32"/>
      <c r="G80" s="32"/>
      <c r="H80" s="59">
        <f>1/(((($D$16*$D$18*$D$20)*1.16)/SUMIF('Model selection'!$F$6:$F$18,$F$41,'Model selection'!$C$6:$C$18))*1.3)</f>
        <v>0.4500442086648983</v>
      </c>
      <c r="I80" s="60" t="str">
        <f>I79</f>
        <v>degrees</v>
      </c>
      <c r="J80" s="32"/>
      <c r="K80" s="32"/>
      <c r="L80" s="32"/>
      <c r="M80" s="32"/>
      <c r="N80" s="32"/>
    </row>
    <row r="81" spans="1:14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4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4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4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1:14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1:14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1:14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4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1:14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1:14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1:14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1:14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1:14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1:14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1:14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1:14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1:14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1:14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1:14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1:14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1:14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1:14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1:14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1:14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1:14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1:14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1:14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1:14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1:14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1:14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</row>
    <row r="133" spans="1:14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</row>
    <row r="134" spans="1:14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1:14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1:14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1:14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1:14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</row>
    <row r="140" spans="1:14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</row>
    <row r="142" spans="1:14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1:14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1:14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</row>
    <row r="145" spans="1:14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</row>
    <row r="146" spans="1:14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</row>
    <row r="147" spans="1:14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4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1:14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</row>
    <row r="150" spans="1:14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</row>
    <row r="152" spans="1:14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1:14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1:14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4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</row>
    <row r="157" spans="1:14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</row>
    <row r="158" spans="1:14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</row>
    <row r="159" spans="1:14" x14ac:dyDescent="0.2">
      <c r="A159" s="61" t="s">
        <v>28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</row>
    <row r="160" spans="1:14" x14ac:dyDescent="0.2">
      <c r="A160" s="61" t="s">
        <v>30</v>
      </c>
      <c r="B160" s="61" t="s">
        <v>63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</row>
    <row r="161" spans="1:14" x14ac:dyDescent="0.2">
      <c r="A161" s="61"/>
      <c r="B161" s="61" t="s">
        <v>31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1:14" x14ac:dyDescent="0.2">
      <c r="A162" s="61"/>
      <c r="B162" s="61" t="s">
        <v>32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1:14" x14ac:dyDescent="0.2">
      <c r="A163" s="62" t="s">
        <v>23</v>
      </c>
      <c r="B163" s="61" t="s">
        <v>29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1:14" x14ac:dyDescent="0.2">
      <c r="A164" s="62" t="s">
        <v>25</v>
      </c>
      <c r="B164" s="61" t="s">
        <v>79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</row>
    <row r="165" spans="1:14" x14ac:dyDescent="0.2">
      <c r="A165" s="62" t="s">
        <v>27</v>
      </c>
      <c r="B165" s="61" t="s">
        <v>80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1:14" x14ac:dyDescent="0.2">
      <c r="A166" s="62" t="s">
        <v>26</v>
      </c>
      <c r="B166" s="61" t="s">
        <v>81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1:14" x14ac:dyDescent="0.2">
      <c r="A167" s="62"/>
      <c r="B167" s="61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1:14" x14ac:dyDescent="0.2">
      <c r="A168" s="61" t="s">
        <v>83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</row>
    <row r="169" spans="1:14" x14ac:dyDescent="0.2">
      <c r="A169" s="61" t="s">
        <v>97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</row>
    <row r="170" spans="1:14" x14ac:dyDescent="0.2">
      <c r="A170" s="61" t="s">
        <v>82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1:14" x14ac:dyDescent="0.2">
      <c r="A171" s="61" t="s">
        <v>39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1:14" x14ac:dyDescent="0.2">
      <c r="A172" s="61" t="s">
        <v>40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1:14" x14ac:dyDescent="0.2">
      <c r="A173" s="61" t="s">
        <v>41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1:14" x14ac:dyDescent="0.2">
      <c r="A174" s="61"/>
    </row>
    <row r="175" spans="1:14" x14ac:dyDescent="0.2">
      <c r="H175" s="106" t="s">
        <v>60</v>
      </c>
      <c r="I175" s="106"/>
    </row>
  </sheetData>
  <sheetProtection algorithmName="SHA-512" hashValue="0FY5x8lBgAf4kTQUGEByyvX0cWXWh0CwXCw/tncANsFluPgYNoUyfo2GyCFcgXKkXSoj4oCEtioEQmnwiRcvLA==" saltValue="fr/+I447QnEmUZ34dykoEw==" spinCount="100000" sheet="1" objects="1" scenarios="1" selectLockedCells="1"/>
  <mergeCells count="3">
    <mergeCell ref="H175:I175"/>
    <mergeCell ref="F41:I41"/>
    <mergeCell ref="F42:I42"/>
  </mergeCells>
  <phoneticPr fontId="2" type="noConversion"/>
  <dataValidations xWindow="638" yWindow="627" count="5">
    <dataValidation allowBlank="1" showInputMessage="1" showErrorMessage="1" prompt="In general, 26 to 28 degree C is considered a comfortable swimming temperature" sqref="D25"/>
    <dataValidation type="list" allowBlank="1" showInputMessage="1" showErrorMessage="1" sqref="D26">
      <formula1>"Solar Alternative, Extended Season, All Year Round"</formula1>
    </dataValidation>
    <dataValidation type="list" allowBlank="1" showInputMessage="1" showErrorMessage="1" sqref="D8">
      <formula1>"Sydney, Adelaide, Brisbane, Melbourne, Perth, Townsville, Tasmania"</formula1>
    </dataValidation>
    <dataValidation type="list" allowBlank="1" showInputMessage="1" showErrorMessage="1" prompt="Most commonly desired swimming temperature is between 26-28 degrees" sqref="D24">
      <formula1>"22, 24,26,28,30"</formula1>
    </dataValidation>
    <dataValidation type="whole" allowBlank="1" showErrorMessage="1" prompt="Average cost per kW hour as " sqref="D47">
      <formula1>22</formula1>
      <formula2>50</formula2>
    </dataValidation>
  </dataValidations>
  <pageMargins left="0.55000000000000004" right="0.55000000000000004" top="1.2" bottom="1" header="0.5" footer="0.5"/>
  <pageSetup paperSize="9" scale="75" orientation="portrait" horizontalDpi="300" verticalDpi="300" r:id="rId1"/>
  <headerFooter alignWithMargins="0"/>
  <rowBreaks count="2" manualBreakCount="2">
    <brk id="47" max="15" man="1"/>
    <brk id="114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zoomScale="110" zoomScaleNormal="110" workbookViewId="0">
      <pane xSplit="1" topLeftCell="B1" activePane="topRight" state="frozen"/>
      <selection pane="topRight" activeCell="C12" sqref="C12"/>
    </sheetView>
  </sheetViews>
  <sheetFormatPr defaultColWidth="8.7109375" defaultRowHeight="12.75" x14ac:dyDescent="0.2"/>
  <cols>
    <col min="1" max="1" width="32.140625" customWidth="1"/>
    <col min="3" max="3" width="20.42578125" bestFit="1" customWidth="1"/>
    <col min="4" max="4" width="10.42578125" bestFit="1" customWidth="1"/>
  </cols>
  <sheetData>
    <row r="2" spans="1:14" x14ac:dyDescent="0.2">
      <c r="A2" s="26" t="s">
        <v>59</v>
      </c>
      <c r="B2" s="18">
        <f>Calculation!$D$24</f>
        <v>28</v>
      </c>
      <c r="C2" s="18">
        <f>Calculation!$D$24</f>
        <v>28</v>
      </c>
      <c r="D2" s="18">
        <f>Calculation!$D$24</f>
        <v>28</v>
      </c>
      <c r="E2" s="18">
        <f>Calculation!$D$24</f>
        <v>28</v>
      </c>
      <c r="F2" s="18">
        <f>Calculation!$D$24</f>
        <v>28</v>
      </c>
      <c r="G2" s="18">
        <f>Calculation!$D$24</f>
        <v>28</v>
      </c>
      <c r="H2" s="18">
        <f>Calculation!$D$24</f>
        <v>28</v>
      </c>
      <c r="I2" s="18">
        <f>Calculation!$D$24</f>
        <v>28</v>
      </c>
      <c r="J2" s="18">
        <f>Calculation!$D$24</f>
        <v>28</v>
      </c>
      <c r="K2" s="18">
        <f>Calculation!$D$24</f>
        <v>28</v>
      </c>
      <c r="L2" s="18">
        <f>Calculation!$D$24</f>
        <v>28</v>
      </c>
      <c r="M2" s="18">
        <f>Calculation!$D$24</f>
        <v>28</v>
      </c>
    </row>
    <row r="3" spans="1:14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110" t="s">
        <v>71</v>
      </c>
    </row>
    <row r="4" spans="1:14" ht="13.5" thickBot="1" x14ac:dyDescent="0.25">
      <c r="A4" s="3" t="s">
        <v>21</v>
      </c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  <c r="H4" s="6" t="s">
        <v>48</v>
      </c>
      <c r="I4" s="6" t="s">
        <v>49</v>
      </c>
      <c r="J4" s="6" t="s">
        <v>50</v>
      </c>
      <c r="K4" s="6" t="s">
        <v>51</v>
      </c>
      <c r="L4" s="6" t="s">
        <v>52</v>
      </c>
      <c r="M4" s="6" t="s">
        <v>53</v>
      </c>
      <c r="N4" s="111"/>
    </row>
    <row r="5" spans="1:14" ht="14.25" thickTop="1" thickBot="1" x14ac:dyDescent="0.25">
      <c r="A5" s="1" t="s">
        <v>3</v>
      </c>
      <c r="B5" s="4">
        <v>23.1</v>
      </c>
      <c r="C5" s="4">
        <v>22.6</v>
      </c>
      <c r="D5" s="4">
        <v>20.399999999999999</v>
      </c>
      <c r="E5" s="4">
        <v>17.600000000000001</v>
      </c>
      <c r="F5" s="4">
        <v>13.7</v>
      </c>
      <c r="G5" s="4">
        <v>11.4</v>
      </c>
      <c r="H5" s="4">
        <v>10.4</v>
      </c>
      <c r="I5" s="4">
        <v>11.3</v>
      </c>
      <c r="J5" s="4">
        <v>13.8</v>
      </c>
      <c r="K5" s="4">
        <v>16.8</v>
      </c>
      <c r="L5" s="4">
        <v>19.100000000000001</v>
      </c>
      <c r="M5" s="24">
        <v>20.8</v>
      </c>
      <c r="N5" s="27">
        <f>IF(Calculation!$D$8=Temperatures!A5, 1, 0)</f>
        <v>0</v>
      </c>
    </row>
    <row r="6" spans="1:14" ht="13.5" thickBot="1" x14ac:dyDescent="0.25">
      <c r="A6" s="1" t="s">
        <v>4</v>
      </c>
      <c r="B6" s="7">
        <v>25.6</v>
      </c>
      <c r="C6" s="7">
        <v>25.3</v>
      </c>
      <c r="D6" s="7">
        <v>23.8</v>
      </c>
      <c r="E6" s="7">
        <v>21.5</v>
      </c>
      <c r="F6" s="7">
        <v>17.600000000000001</v>
      </c>
      <c r="G6" s="7">
        <v>14.8</v>
      </c>
      <c r="H6" s="7">
        <v>13.5</v>
      </c>
      <c r="I6" s="7">
        <v>15.4</v>
      </c>
      <c r="J6" s="7">
        <v>18.8</v>
      </c>
      <c r="K6" s="7">
        <v>21.9</v>
      </c>
      <c r="L6" s="7">
        <v>23.9</v>
      </c>
      <c r="M6" s="25">
        <v>25.1</v>
      </c>
      <c r="N6" s="27">
        <f>IF(Calculation!$D$8=Temperatures!A6, 1, 0)</f>
        <v>0</v>
      </c>
    </row>
    <row r="7" spans="1:14" ht="13.5" thickBot="1" x14ac:dyDescent="0.25">
      <c r="A7" s="1" t="s">
        <v>2</v>
      </c>
      <c r="B7" s="7">
        <v>20.100000000000001</v>
      </c>
      <c r="C7" s="7">
        <v>19.8</v>
      </c>
      <c r="D7" s="7">
        <v>17.600000000000001</v>
      </c>
      <c r="E7" s="7">
        <v>14.6</v>
      </c>
      <c r="F7" s="7">
        <v>11.2</v>
      </c>
      <c r="G7" s="7">
        <v>9</v>
      </c>
      <c r="H7" s="7">
        <v>8.1999999999999993</v>
      </c>
      <c r="I7" s="7">
        <v>9.5</v>
      </c>
      <c r="J7" s="7">
        <v>11.9</v>
      </c>
      <c r="K7" s="7">
        <v>14.6</v>
      </c>
      <c r="L7" s="7">
        <v>16.5</v>
      </c>
      <c r="M7" s="25">
        <v>18.5</v>
      </c>
      <c r="N7" s="27">
        <f>IF(Calculation!$D$8=Temperatures!A7, 1, 0)</f>
        <v>1</v>
      </c>
    </row>
    <row r="8" spans="1:14" ht="13.5" thickBot="1" x14ac:dyDescent="0.25">
      <c r="A8" s="1" t="s">
        <v>5</v>
      </c>
      <c r="B8" s="7">
        <v>23.9</v>
      </c>
      <c r="C8" s="7">
        <v>23.4</v>
      </c>
      <c r="D8" s="7">
        <v>21.2</v>
      </c>
      <c r="E8" s="7">
        <v>17.899999999999999</v>
      </c>
      <c r="F8" s="7">
        <v>15.2</v>
      </c>
      <c r="G8" s="7">
        <v>13.3</v>
      </c>
      <c r="H8" s="7">
        <v>11.9</v>
      </c>
      <c r="I8" s="7">
        <v>12.6</v>
      </c>
      <c r="J8" s="7">
        <v>14.5</v>
      </c>
      <c r="K8" s="7">
        <v>17.3</v>
      </c>
      <c r="L8" s="7">
        <v>20</v>
      </c>
      <c r="M8" s="25">
        <v>22.7</v>
      </c>
      <c r="N8" s="27">
        <f>IF(Calculation!$D$8=Temperatures!A8, 1, 0)</f>
        <v>0</v>
      </c>
    </row>
    <row r="9" spans="1:14" ht="13.5" thickBot="1" x14ac:dyDescent="0.25">
      <c r="A9" s="1" t="s">
        <v>6</v>
      </c>
      <c r="B9" s="7">
        <v>22.9</v>
      </c>
      <c r="C9" s="7">
        <v>23</v>
      </c>
      <c r="D9" s="7">
        <v>21.4</v>
      </c>
      <c r="E9" s="7">
        <v>18.399999999999999</v>
      </c>
      <c r="F9" s="7">
        <v>14.3</v>
      </c>
      <c r="G9" s="7">
        <v>12</v>
      </c>
      <c r="H9" s="7">
        <v>10.9</v>
      </c>
      <c r="I9" s="7">
        <v>12.5</v>
      </c>
      <c r="J9" s="7">
        <v>15.4</v>
      </c>
      <c r="K9" s="7">
        <v>18.600000000000001</v>
      </c>
      <c r="L9" s="7">
        <v>20.7</v>
      </c>
      <c r="M9" s="25">
        <v>22.1</v>
      </c>
      <c r="N9" s="27">
        <f>IF(Calculation!$D$8=Temperatures!A9, 1, 0)</f>
        <v>0</v>
      </c>
    </row>
    <row r="10" spans="1:14" ht="13.5" thickBot="1" x14ac:dyDescent="0.25">
      <c r="A10" s="20" t="s">
        <v>61</v>
      </c>
      <c r="B10" s="7">
        <f>B6</f>
        <v>25.6</v>
      </c>
      <c r="C10" s="7">
        <f>C6</f>
        <v>25.3</v>
      </c>
      <c r="D10" s="7">
        <f>D6</f>
        <v>23.8</v>
      </c>
      <c r="E10" s="7">
        <f>E6+2</f>
        <v>23.5</v>
      </c>
      <c r="F10" s="7">
        <f t="shared" ref="F10:K10" si="0">F6+3</f>
        <v>20.6</v>
      </c>
      <c r="G10" s="7">
        <f t="shared" si="0"/>
        <v>17.8</v>
      </c>
      <c r="H10" s="7">
        <f t="shared" si="0"/>
        <v>16.5</v>
      </c>
      <c r="I10" s="7">
        <f t="shared" si="0"/>
        <v>18.399999999999999</v>
      </c>
      <c r="J10" s="7">
        <f t="shared" si="0"/>
        <v>21.8</v>
      </c>
      <c r="K10" s="7">
        <f t="shared" si="0"/>
        <v>24.9</v>
      </c>
      <c r="L10" s="7">
        <f>L6+2</f>
        <v>25.9</v>
      </c>
      <c r="M10" s="25">
        <f>M6+2</f>
        <v>27.1</v>
      </c>
      <c r="N10" s="27">
        <f>IF(Calculation!$D$8=Temperatures!A10, 1, 0)</f>
        <v>0</v>
      </c>
    </row>
    <row r="11" spans="1:14" ht="13.5" thickBot="1" x14ac:dyDescent="0.25">
      <c r="A11" s="20" t="s">
        <v>98</v>
      </c>
      <c r="B11" s="7">
        <v>18</v>
      </c>
      <c r="C11" s="7">
        <v>18</v>
      </c>
      <c r="D11" s="7">
        <v>16</v>
      </c>
      <c r="E11" s="7">
        <v>14</v>
      </c>
      <c r="F11" s="7">
        <v>11</v>
      </c>
      <c r="G11" s="7">
        <v>9</v>
      </c>
      <c r="H11" s="7">
        <v>8</v>
      </c>
      <c r="I11" s="7">
        <v>10</v>
      </c>
      <c r="J11" s="7">
        <v>11</v>
      </c>
      <c r="K11" s="7">
        <v>13</v>
      </c>
      <c r="L11" s="7">
        <v>15</v>
      </c>
      <c r="M11" s="25">
        <v>17</v>
      </c>
      <c r="N11" s="28">
        <f>IF(Calculation!$D$8=Temperatures!A11, 1, 0)</f>
        <v>0</v>
      </c>
    </row>
    <row r="12" spans="1:14" x14ac:dyDescent="0.2">
      <c r="A12" s="22" t="s">
        <v>70</v>
      </c>
      <c r="B12" s="15">
        <f>VLOOKUP(Calculation!$D$8,Temperatures!$A$5:B$11,2,FALSE)</f>
        <v>20.100000000000001</v>
      </c>
      <c r="C12" s="15">
        <f>VLOOKUP(Calculation!$D$8,Temperatures!$A$5:C$11,3,FALSE)</f>
        <v>19.8</v>
      </c>
      <c r="D12" s="15">
        <f>VLOOKUP(Calculation!$D$8,Temperatures!$A$5:D$11,4,FALSE)</f>
        <v>17.600000000000001</v>
      </c>
      <c r="E12" s="15">
        <f>VLOOKUP(Calculation!$D$8,Temperatures!$A$5:E$11,5,FALSE)</f>
        <v>14.6</v>
      </c>
      <c r="F12" s="15">
        <f>VLOOKUP(Calculation!$D$8,Temperatures!$A$5:F$11,6,FALSE)</f>
        <v>11.2</v>
      </c>
      <c r="G12" s="15">
        <f>VLOOKUP(Calculation!$D$8,Temperatures!$A$5:G$11,7,FALSE)</f>
        <v>9</v>
      </c>
      <c r="H12" s="15">
        <f>VLOOKUP(Calculation!$D$8,Temperatures!$A$5:H$11,8,FALSE)</f>
        <v>8.1999999999999993</v>
      </c>
      <c r="I12" s="15">
        <f>VLOOKUP(Calculation!$D$8,Temperatures!$A$5:I$11,9,FALSE)</f>
        <v>9.5</v>
      </c>
      <c r="J12" s="15">
        <f>VLOOKUP(Calculation!$D$8,Temperatures!$A$5:J$11,10,FALSE)</f>
        <v>11.9</v>
      </c>
      <c r="K12" s="15">
        <f>VLOOKUP(Calculation!$D$8,Temperatures!$A$5:K$11,11,FALSE)</f>
        <v>14.6</v>
      </c>
      <c r="L12" s="15">
        <f>VLOOKUP(Calculation!$D$8,Temperatures!$A$5:L$11,12,FALSE)</f>
        <v>16.5</v>
      </c>
      <c r="M12" s="15">
        <f>VLOOKUP(Calculation!$D$8,Temperatures!$A$5:M$11,13,FALSE)</f>
        <v>18.5</v>
      </c>
    </row>
    <row r="13" spans="1:14" x14ac:dyDescent="0.2">
      <c r="A13" s="1" t="str">
        <f>A16</f>
        <v>Desired temp less City Avg Temp</v>
      </c>
      <c r="B13" s="1">
        <f t="shared" ref="B13:M13" si="1">IF(B2-B12&lt;0,0,B2-B12)</f>
        <v>7.8999999999999986</v>
      </c>
      <c r="C13" s="1">
        <f t="shared" si="1"/>
        <v>8.1999999999999993</v>
      </c>
      <c r="D13" s="1">
        <f t="shared" si="1"/>
        <v>10.399999999999999</v>
      </c>
      <c r="E13" s="1">
        <f t="shared" si="1"/>
        <v>13.4</v>
      </c>
      <c r="F13" s="1">
        <f t="shared" si="1"/>
        <v>16.8</v>
      </c>
      <c r="G13" s="1">
        <f t="shared" si="1"/>
        <v>19</v>
      </c>
      <c r="H13" s="1">
        <f t="shared" si="1"/>
        <v>19.8</v>
      </c>
      <c r="I13" s="1">
        <f t="shared" si="1"/>
        <v>18.5</v>
      </c>
      <c r="J13" s="1">
        <f t="shared" si="1"/>
        <v>16.100000000000001</v>
      </c>
      <c r="K13" s="1">
        <f t="shared" si="1"/>
        <v>13.4</v>
      </c>
      <c r="L13" s="1">
        <f t="shared" si="1"/>
        <v>11.5</v>
      </c>
      <c r="M13" s="1">
        <f t="shared" si="1"/>
        <v>9.5</v>
      </c>
    </row>
    <row r="15" spans="1:14" x14ac:dyDescent="0.2">
      <c r="A15" s="65" t="s">
        <v>75</v>
      </c>
    </row>
    <row r="16" spans="1:14" x14ac:dyDescent="0.2">
      <c r="A16" s="20" t="s">
        <v>69</v>
      </c>
      <c r="B16" s="1">
        <f>B2-B5</f>
        <v>4.8999999999999986</v>
      </c>
      <c r="C16" s="1">
        <f>C2-C5</f>
        <v>5.3999999999999986</v>
      </c>
      <c r="D16" s="1">
        <f>D2-D5</f>
        <v>7.6000000000000014</v>
      </c>
      <c r="E16" s="1">
        <f>E2-E5</f>
        <v>10.399999999999999</v>
      </c>
      <c r="F16" s="1">
        <f>F2-F5</f>
        <v>14.3</v>
      </c>
      <c r="G16" s="1">
        <f>G2-G10</f>
        <v>10.199999999999999</v>
      </c>
      <c r="H16" s="1">
        <f t="shared" ref="H16:M16" si="2">H2-H5</f>
        <v>17.600000000000001</v>
      </c>
      <c r="I16" s="1">
        <f t="shared" si="2"/>
        <v>16.7</v>
      </c>
      <c r="J16" s="1">
        <f t="shared" si="2"/>
        <v>14.2</v>
      </c>
      <c r="K16" s="1">
        <f t="shared" si="2"/>
        <v>11.2</v>
      </c>
      <c r="L16" s="1">
        <f t="shared" si="2"/>
        <v>8.8999999999999986</v>
      </c>
      <c r="M16" s="1">
        <f t="shared" si="2"/>
        <v>7.1999999999999993</v>
      </c>
    </row>
    <row r="17" spans="1:16" x14ac:dyDescent="0.2">
      <c r="A17" s="2"/>
      <c r="B17" s="2">
        <f t="shared" ref="B17:M17" si="3">B16-10</f>
        <v>-5.1000000000000014</v>
      </c>
      <c r="C17" s="2">
        <f t="shared" si="3"/>
        <v>-4.6000000000000014</v>
      </c>
      <c r="D17" s="2">
        <f t="shared" si="3"/>
        <v>-2.3999999999999986</v>
      </c>
      <c r="E17" s="2">
        <f t="shared" si="3"/>
        <v>0.39999999999999858</v>
      </c>
      <c r="F17" s="2">
        <f t="shared" si="3"/>
        <v>4.3000000000000007</v>
      </c>
      <c r="G17" s="2">
        <f t="shared" si="3"/>
        <v>0.19999999999999929</v>
      </c>
      <c r="H17" s="2">
        <f t="shared" si="3"/>
        <v>7.6000000000000014</v>
      </c>
      <c r="I17" s="2">
        <f t="shared" si="3"/>
        <v>6.6999999999999993</v>
      </c>
      <c r="J17" s="2">
        <f t="shared" si="3"/>
        <v>4.1999999999999993</v>
      </c>
      <c r="K17" s="2">
        <f t="shared" si="3"/>
        <v>1.1999999999999993</v>
      </c>
      <c r="L17" s="2">
        <f t="shared" si="3"/>
        <v>-1.1000000000000014</v>
      </c>
      <c r="M17" s="2">
        <f t="shared" si="3"/>
        <v>-2.8000000000000007</v>
      </c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6" x14ac:dyDescent="0.2">
      <c r="A19" s="23" t="s">
        <v>73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6" x14ac:dyDescent="0.2">
      <c r="A20" s="8" t="s">
        <v>3</v>
      </c>
      <c r="B20" s="9">
        <f t="shared" ref="B20:E26" si="4">IF(B5&gt;B$2,B5,B$2)</f>
        <v>28</v>
      </c>
      <c r="C20" s="9">
        <f t="shared" si="4"/>
        <v>28</v>
      </c>
      <c r="D20" s="9">
        <f t="shared" si="4"/>
        <v>28</v>
      </c>
      <c r="E20" s="9">
        <f t="shared" si="4"/>
        <v>28</v>
      </c>
      <c r="F20" s="9">
        <f t="shared" ref="F20:I24" si="5">F5</f>
        <v>13.7</v>
      </c>
      <c r="G20" s="9">
        <f t="shared" si="5"/>
        <v>11.4</v>
      </c>
      <c r="H20" s="9">
        <f t="shared" si="5"/>
        <v>10.4</v>
      </c>
      <c r="I20" s="9">
        <f t="shared" si="5"/>
        <v>11.3</v>
      </c>
      <c r="J20" s="9">
        <f t="shared" ref="J20:M23" si="6">IF(J5&gt;J$2,J5,J$2)</f>
        <v>28</v>
      </c>
      <c r="K20" s="9">
        <f t="shared" si="6"/>
        <v>28</v>
      </c>
      <c r="L20" s="9">
        <f t="shared" si="6"/>
        <v>28</v>
      </c>
      <c r="M20" s="10">
        <f t="shared" si="6"/>
        <v>28</v>
      </c>
    </row>
    <row r="21" spans="1:16" x14ac:dyDescent="0.2">
      <c r="A21" s="11" t="s">
        <v>4</v>
      </c>
      <c r="B21" s="12">
        <f t="shared" si="4"/>
        <v>28</v>
      </c>
      <c r="C21" s="12">
        <f t="shared" si="4"/>
        <v>28</v>
      </c>
      <c r="D21" s="12">
        <f t="shared" si="4"/>
        <v>28</v>
      </c>
      <c r="E21" s="12">
        <f t="shared" si="4"/>
        <v>28</v>
      </c>
      <c r="F21" s="12">
        <f t="shared" si="5"/>
        <v>17.600000000000001</v>
      </c>
      <c r="G21" s="12">
        <f t="shared" si="5"/>
        <v>14.8</v>
      </c>
      <c r="H21" s="12">
        <f t="shared" si="5"/>
        <v>13.5</v>
      </c>
      <c r="I21" s="12">
        <f t="shared" si="5"/>
        <v>15.4</v>
      </c>
      <c r="J21" s="12">
        <f t="shared" si="6"/>
        <v>28</v>
      </c>
      <c r="K21" s="12">
        <f t="shared" si="6"/>
        <v>28</v>
      </c>
      <c r="L21" s="12">
        <f t="shared" si="6"/>
        <v>28</v>
      </c>
      <c r="M21" s="13">
        <f t="shared" si="6"/>
        <v>28</v>
      </c>
    </row>
    <row r="22" spans="1:16" x14ac:dyDescent="0.2">
      <c r="A22" s="11" t="s">
        <v>2</v>
      </c>
      <c r="B22" s="12">
        <f t="shared" si="4"/>
        <v>28</v>
      </c>
      <c r="C22" s="12">
        <f t="shared" si="4"/>
        <v>28</v>
      </c>
      <c r="D22" s="12">
        <f t="shared" si="4"/>
        <v>28</v>
      </c>
      <c r="E22" s="12">
        <f t="shared" si="4"/>
        <v>28</v>
      </c>
      <c r="F22" s="12">
        <f t="shared" si="5"/>
        <v>11.2</v>
      </c>
      <c r="G22" s="12">
        <f t="shared" si="5"/>
        <v>9</v>
      </c>
      <c r="H22" s="12">
        <f t="shared" si="5"/>
        <v>8.1999999999999993</v>
      </c>
      <c r="I22" s="12">
        <f t="shared" si="5"/>
        <v>9.5</v>
      </c>
      <c r="J22" s="12">
        <f t="shared" si="6"/>
        <v>28</v>
      </c>
      <c r="K22" s="12">
        <f t="shared" si="6"/>
        <v>28</v>
      </c>
      <c r="L22" s="12">
        <f t="shared" si="6"/>
        <v>28</v>
      </c>
      <c r="M22" s="13">
        <f t="shared" si="6"/>
        <v>28</v>
      </c>
    </row>
    <row r="23" spans="1:16" x14ac:dyDescent="0.2">
      <c r="A23" s="11" t="s">
        <v>5</v>
      </c>
      <c r="B23" s="12">
        <f t="shared" si="4"/>
        <v>28</v>
      </c>
      <c r="C23" s="12">
        <f t="shared" si="4"/>
        <v>28</v>
      </c>
      <c r="D23" s="12">
        <f t="shared" si="4"/>
        <v>28</v>
      </c>
      <c r="E23" s="12">
        <f t="shared" si="4"/>
        <v>28</v>
      </c>
      <c r="F23" s="12">
        <f t="shared" si="5"/>
        <v>15.2</v>
      </c>
      <c r="G23" s="12">
        <f t="shared" si="5"/>
        <v>13.3</v>
      </c>
      <c r="H23" s="12">
        <f t="shared" si="5"/>
        <v>11.9</v>
      </c>
      <c r="I23" s="12">
        <f t="shared" si="5"/>
        <v>12.6</v>
      </c>
      <c r="J23" s="12">
        <f t="shared" si="6"/>
        <v>28</v>
      </c>
      <c r="K23" s="12">
        <f t="shared" si="6"/>
        <v>28</v>
      </c>
      <c r="L23" s="12">
        <f t="shared" si="6"/>
        <v>28</v>
      </c>
      <c r="M23" s="13">
        <f t="shared" si="6"/>
        <v>28</v>
      </c>
    </row>
    <row r="24" spans="1:16" x14ac:dyDescent="0.2">
      <c r="A24" s="11" t="s">
        <v>6</v>
      </c>
      <c r="B24" s="12">
        <f t="shared" si="4"/>
        <v>28</v>
      </c>
      <c r="C24" s="12">
        <f t="shared" si="4"/>
        <v>28</v>
      </c>
      <c r="D24" s="12">
        <f t="shared" si="4"/>
        <v>28</v>
      </c>
      <c r="E24" s="12">
        <f t="shared" si="4"/>
        <v>28</v>
      </c>
      <c r="F24" s="12">
        <f t="shared" si="5"/>
        <v>14.3</v>
      </c>
      <c r="G24" s="12">
        <f t="shared" si="5"/>
        <v>12</v>
      </c>
      <c r="H24" s="12">
        <f t="shared" si="5"/>
        <v>10.9</v>
      </c>
      <c r="I24" s="12">
        <f t="shared" si="5"/>
        <v>12.5</v>
      </c>
      <c r="J24" s="12">
        <f t="shared" ref="J24:M26" si="7">IF(J9&gt;J$2,J9,J$2)</f>
        <v>28</v>
      </c>
      <c r="K24" s="12">
        <f t="shared" si="7"/>
        <v>28</v>
      </c>
      <c r="L24" s="12">
        <f t="shared" si="7"/>
        <v>28</v>
      </c>
      <c r="M24" s="13">
        <f t="shared" si="7"/>
        <v>28</v>
      </c>
    </row>
    <row r="25" spans="1:16" ht="13.5" customHeight="1" x14ac:dyDescent="0.2">
      <c r="A25" s="98" t="s">
        <v>61</v>
      </c>
      <c r="B25" s="99">
        <f t="shared" si="4"/>
        <v>28</v>
      </c>
      <c r="C25" s="99">
        <f t="shared" si="4"/>
        <v>28</v>
      </c>
      <c r="D25" s="99">
        <f t="shared" si="4"/>
        <v>28</v>
      </c>
      <c r="E25" s="99">
        <f t="shared" si="4"/>
        <v>28</v>
      </c>
      <c r="F25" s="12">
        <f t="shared" ref="F25:I26" si="8">F10</f>
        <v>20.6</v>
      </c>
      <c r="G25" s="12">
        <f t="shared" si="8"/>
        <v>17.8</v>
      </c>
      <c r="H25" s="12">
        <f t="shared" si="8"/>
        <v>16.5</v>
      </c>
      <c r="I25" s="12">
        <f t="shared" si="8"/>
        <v>18.399999999999999</v>
      </c>
      <c r="J25" s="99">
        <f t="shared" si="7"/>
        <v>28</v>
      </c>
      <c r="K25" s="99">
        <f t="shared" si="7"/>
        <v>28</v>
      </c>
      <c r="L25" s="99">
        <f t="shared" si="7"/>
        <v>28</v>
      </c>
      <c r="M25" s="99">
        <f t="shared" si="7"/>
        <v>28</v>
      </c>
    </row>
    <row r="26" spans="1:16" ht="13.5" customHeight="1" x14ac:dyDescent="0.2">
      <c r="A26" s="19" t="s">
        <v>98</v>
      </c>
      <c r="B26" s="29">
        <f t="shared" si="4"/>
        <v>28</v>
      </c>
      <c r="C26" s="29">
        <f t="shared" si="4"/>
        <v>28</v>
      </c>
      <c r="D26" s="29">
        <f t="shared" si="4"/>
        <v>28</v>
      </c>
      <c r="E26" s="29">
        <f t="shared" si="4"/>
        <v>28</v>
      </c>
      <c r="F26" s="14">
        <f t="shared" si="8"/>
        <v>11</v>
      </c>
      <c r="G26" s="14">
        <f t="shared" si="8"/>
        <v>9</v>
      </c>
      <c r="H26" s="14">
        <f t="shared" si="8"/>
        <v>8</v>
      </c>
      <c r="I26" s="14">
        <f t="shared" si="8"/>
        <v>10</v>
      </c>
      <c r="J26" s="29">
        <f t="shared" si="7"/>
        <v>28</v>
      </c>
      <c r="K26" s="29">
        <f t="shared" si="7"/>
        <v>28</v>
      </c>
      <c r="L26" s="29">
        <f t="shared" si="7"/>
        <v>28</v>
      </c>
      <c r="M26" s="30">
        <f t="shared" si="7"/>
        <v>28</v>
      </c>
    </row>
    <row r="27" spans="1:16" s="2" customFormat="1" x14ac:dyDescent="0.2">
      <c r="A27" s="23" t="s">
        <v>74</v>
      </c>
      <c r="N27"/>
      <c r="O27"/>
      <c r="P27"/>
    </row>
    <row r="28" spans="1:16" s="2" customFormat="1" ht="11.25" customHeight="1" x14ac:dyDescent="0.2">
      <c r="A28" s="1" t="s">
        <v>3</v>
      </c>
      <c r="B28" s="1">
        <f>IF(B5&gt;B$2,B5,B$2)</f>
        <v>28</v>
      </c>
      <c r="C28" s="1">
        <f t="shared" ref="C28:M28" si="9">IF(C5&gt;C$2,C5,C$2)</f>
        <v>28</v>
      </c>
      <c r="D28" s="1">
        <f t="shared" si="9"/>
        <v>28</v>
      </c>
      <c r="E28" s="1">
        <f t="shared" si="9"/>
        <v>28</v>
      </c>
      <c r="F28" s="1">
        <f t="shared" si="9"/>
        <v>28</v>
      </c>
      <c r="G28" s="1">
        <f t="shared" si="9"/>
        <v>28</v>
      </c>
      <c r="H28" s="1">
        <f t="shared" si="9"/>
        <v>28</v>
      </c>
      <c r="I28" s="1">
        <f t="shared" si="9"/>
        <v>28</v>
      </c>
      <c r="J28" s="1">
        <f t="shared" si="9"/>
        <v>28</v>
      </c>
      <c r="K28" s="1">
        <f t="shared" si="9"/>
        <v>28</v>
      </c>
      <c r="L28" s="1">
        <f t="shared" si="9"/>
        <v>28</v>
      </c>
      <c r="M28" s="1">
        <f t="shared" si="9"/>
        <v>28</v>
      </c>
    </row>
    <row r="29" spans="1:16" s="2" customFormat="1" ht="11.25" customHeight="1" x14ac:dyDescent="0.2">
      <c r="A29" s="1" t="s">
        <v>4</v>
      </c>
      <c r="B29" s="1">
        <f t="shared" ref="B29:M34" si="10">IF(B6&gt;B$2,B6,B$2)</f>
        <v>28</v>
      </c>
      <c r="C29" s="1">
        <f t="shared" si="10"/>
        <v>28</v>
      </c>
      <c r="D29" s="1">
        <f t="shared" si="10"/>
        <v>28</v>
      </c>
      <c r="E29" s="1">
        <f t="shared" si="10"/>
        <v>28</v>
      </c>
      <c r="F29" s="1">
        <f t="shared" si="10"/>
        <v>28</v>
      </c>
      <c r="G29" s="1">
        <f t="shared" si="10"/>
        <v>28</v>
      </c>
      <c r="H29" s="1">
        <f t="shared" si="10"/>
        <v>28</v>
      </c>
      <c r="I29" s="1">
        <f t="shared" si="10"/>
        <v>28</v>
      </c>
      <c r="J29" s="1">
        <f t="shared" si="10"/>
        <v>28</v>
      </c>
      <c r="K29" s="1">
        <f t="shared" si="10"/>
        <v>28</v>
      </c>
      <c r="L29" s="1">
        <f t="shared" si="10"/>
        <v>28</v>
      </c>
      <c r="M29" s="1">
        <f t="shared" si="10"/>
        <v>28</v>
      </c>
    </row>
    <row r="30" spans="1:16" s="2" customFormat="1" ht="11.25" customHeight="1" x14ac:dyDescent="0.2">
      <c r="A30" s="1" t="s">
        <v>2</v>
      </c>
      <c r="B30" s="1">
        <f t="shared" si="10"/>
        <v>28</v>
      </c>
      <c r="C30" s="1">
        <f t="shared" si="10"/>
        <v>28</v>
      </c>
      <c r="D30" s="1">
        <f t="shared" si="10"/>
        <v>28</v>
      </c>
      <c r="E30" s="1">
        <f t="shared" si="10"/>
        <v>28</v>
      </c>
      <c r="F30" s="1">
        <f t="shared" si="10"/>
        <v>28</v>
      </c>
      <c r="G30" s="1">
        <f t="shared" si="10"/>
        <v>28</v>
      </c>
      <c r="H30" s="1">
        <f t="shared" si="10"/>
        <v>28</v>
      </c>
      <c r="I30" s="1">
        <f t="shared" si="10"/>
        <v>28</v>
      </c>
      <c r="J30" s="1">
        <f t="shared" si="10"/>
        <v>28</v>
      </c>
      <c r="K30" s="1">
        <f t="shared" si="10"/>
        <v>28</v>
      </c>
      <c r="L30" s="1">
        <f t="shared" si="10"/>
        <v>28</v>
      </c>
      <c r="M30" s="1">
        <f t="shared" si="10"/>
        <v>28</v>
      </c>
    </row>
    <row r="31" spans="1:16" s="2" customFormat="1" ht="11.25" customHeight="1" x14ac:dyDescent="0.2">
      <c r="A31" s="1" t="s">
        <v>5</v>
      </c>
      <c r="B31" s="1">
        <f t="shared" si="10"/>
        <v>28</v>
      </c>
      <c r="C31" s="1">
        <f t="shared" si="10"/>
        <v>28</v>
      </c>
      <c r="D31" s="1">
        <f t="shared" si="10"/>
        <v>28</v>
      </c>
      <c r="E31" s="1">
        <f t="shared" si="10"/>
        <v>28</v>
      </c>
      <c r="F31" s="1">
        <f t="shared" si="10"/>
        <v>28</v>
      </c>
      <c r="G31" s="1">
        <f t="shared" si="10"/>
        <v>28</v>
      </c>
      <c r="H31" s="1">
        <f t="shared" si="10"/>
        <v>28</v>
      </c>
      <c r="I31" s="1">
        <f t="shared" si="10"/>
        <v>28</v>
      </c>
      <c r="J31" s="1">
        <f t="shared" si="10"/>
        <v>28</v>
      </c>
      <c r="K31" s="1">
        <f t="shared" si="10"/>
        <v>28</v>
      </c>
      <c r="L31" s="1">
        <f t="shared" si="10"/>
        <v>28</v>
      </c>
      <c r="M31" s="1">
        <f t="shared" si="10"/>
        <v>28</v>
      </c>
    </row>
    <row r="32" spans="1:16" s="2" customFormat="1" ht="11.25" customHeight="1" x14ac:dyDescent="0.2">
      <c r="A32" s="1" t="s">
        <v>6</v>
      </c>
      <c r="B32" s="1">
        <f t="shared" si="10"/>
        <v>28</v>
      </c>
      <c r="C32" s="1">
        <f t="shared" si="10"/>
        <v>28</v>
      </c>
      <c r="D32" s="1">
        <f t="shared" si="10"/>
        <v>28</v>
      </c>
      <c r="E32" s="1">
        <f t="shared" si="10"/>
        <v>28</v>
      </c>
      <c r="F32" s="1">
        <f t="shared" si="10"/>
        <v>28</v>
      </c>
      <c r="G32" s="1">
        <f t="shared" si="10"/>
        <v>28</v>
      </c>
      <c r="H32" s="1">
        <f t="shared" si="10"/>
        <v>28</v>
      </c>
      <c r="I32" s="1">
        <f t="shared" si="10"/>
        <v>28</v>
      </c>
      <c r="J32" s="1">
        <f t="shared" si="10"/>
        <v>28</v>
      </c>
      <c r="K32" s="1">
        <f t="shared" si="10"/>
        <v>28</v>
      </c>
      <c r="L32" s="1">
        <f t="shared" si="10"/>
        <v>28</v>
      </c>
      <c r="M32" s="1">
        <f t="shared" si="10"/>
        <v>28</v>
      </c>
    </row>
    <row r="33" spans="1:16" s="2" customFormat="1" ht="11.25" customHeight="1" x14ac:dyDescent="0.2">
      <c r="A33" s="20" t="s">
        <v>61</v>
      </c>
      <c r="B33" s="1">
        <f t="shared" si="10"/>
        <v>28</v>
      </c>
      <c r="C33" s="1">
        <f t="shared" si="10"/>
        <v>28</v>
      </c>
      <c r="D33" s="1">
        <f t="shared" si="10"/>
        <v>28</v>
      </c>
      <c r="E33" s="1">
        <f t="shared" si="10"/>
        <v>28</v>
      </c>
      <c r="F33" s="1">
        <f t="shared" si="10"/>
        <v>28</v>
      </c>
      <c r="G33" s="1">
        <f t="shared" si="10"/>
        <v>28</v>
      </c>
      <c r="H33" s="1">
        <f t="shared" si="10"/>
        <v>28</v>
      </c>
      <c r="I33" s="1">
        <f t="shared" si="10"/>
        <v>28</v>
      </c>
      <c r="J33" s="1">
        <f t="shared" si="10"/>
        <v>28</v>
      </c>
      <c r="K33" s="1">
        <f t="shared" si="10"/>
        <v>28</v>
      </c>
      <c r="L33" s="1">
        <f t="shared" si="10"/>
        <v>28</v>
      </c>
      <c r="M33" s="1">
        <f t="shared" si="10"/>
        <v>28</v>
      </c>
    </row>
    <row r="34" spans="1:16" s="2" customFormat="1" ht="11.25" customHeight="1" x14ac:dyDescent="0.2">
      <c r="A34" s="19" t="s">
        <v>98</v>
      </c>
      <c r="B34" s="1">
        <f t="shared" si="10"/>
        <v>28</v>
      </c>
      <c r="C34" s="1">
        <f t="shared" si="10"/>
        <v>28</v>
      </c>
      <c r="D34" s="1">
        <f t="shared" si="10"/>
        <v>28</v>
      </c>
      <c r="E34" s="1">
        <f t="shared" si="10"/>
        <v>28</v>
      </c>
      <c r="F34" s="1">
        <f t="shared" si="10"/>
        <v>28</v>
      </c>
      <c r="G34" s="1">
        <f t="shared" si="10"/>
        <v>28</v>
      </c>
      <c r="H34" s="1">
        <f t="shared" si="10"/>
        <v>28</v>
      </c>
      <c r="I34" s="1">
        <f t="shared" si="10"/>
        <v>28</v>
      </c>
      <c r="J34" s="1">
        <f t="shared" si="10"/>
        <v>28</v>
      </c>
      <c r="K34" s="1">
        <f t="shared" si="10"/>
        <v>28</v>
      </c>
      <c r="L34" s="1">
        <f t="shared" si="10"/>
        <v>28</v>
      </c>
      <c r="M34" s="1">
        <f t="shared" si="10"/>
        <v>28</v>
      </c>
    </row>
    <row r="35" spans="1:16" s="2" customFormat="1" x14ac:dyDescent="0.2">
      <c r="A35" s="23" t="s">
        <v>76</v>
      </c>
      <c r="N35"/>
      <c r="O35"/>
      <c r="P35"/>
    </row>
    <row r="36" spans="1:16" s="2" customFormat="1" ht="11.25" customHeight="1" x14ac:dyDescent="0.2">
      <c r="A36" s="1" t="s">
        <v>3</v>
      </c>
      <c r="B36" s="1">
        <f>IF(B5&gt;B$2,B5,B$2)</f>
        <v>28</v>
      </c>
      <c r="C36" s="1">
        <f>IF(C5&gt;C$2,C5,C$2)</f>
        <v>28</v>
      </c>
      <c r="D36" s="1">
        <f t="shared" ref="D36:M36" si="11">IF(D5&gt;D$2,D5,D$2)</f>
        <v>28</v>
      </c>
      <c r="E36" s="1">
        <f>E5</f>
        <v>17.600000000000001</v>
      </c>
      <c r="F36" s="1">
        <f>F5</f>
        <v>13.7</v>
      </c>
      <c r="G36" s="1">
        <f t="shared" ref="G36:J36" si="12">G5</f>
        <v>11.4</v>
      </c>
      <c r="H36" s="1">
        <f t="shared" si="12"/>
        <v>10.4</v>
      </c>
      <c r="I36" s="1">
        <f t="shared" si="12"/>
        <v>11.3</v>
      </c>
      <c r="J36" s="1">
        <f t="shared" si="12"/>
        <v>13.8</v>
      </c>
      <c r="K36" s="1">
        <f t="shared" si="11"/>
        <v>28</v>
      </c>
      <c r="L36" s="1">
        <f t="shared" si="11"/>
        <v>28</v>
      </c>
      <c r="M36" s="1">
        <f t="shared" si="11"/>
        <v>28</v>
      </c>
    </row>
    <row r="37" spans="1:16" s="2" customFormat="1" ht="11.25" customHeight="1" x14ac:dyDescent="0.2">
      <c r="A37" s="1" t="s">
        <v>4</v>
      </c>
      <c r="B37" s="1">
        <f t="shared" ref="B37:D37" si="13">IF(B6&gt;B$2,B6,B$2)</f>
        <v>28</v>
      </c>
      <c r="C37" s="1">
        <f t="shared" si="13"/>
        <v>28</v>
      </c>
      <c r="D37" s="1">
        <f t="shared" si="13"/>
        <v>28</v>
      </c>
      <c r="E37" s="1">
        <f t="shared" ref="E37:J37" si="14">E6</f>
        <v>21.5</v>
      </c>
      <c r="F37" s="1">
        <f t="shared" si="14"/>
        <v>17.600000000000001</v>
      </c>
      <c r="G37" s="1">
        <f t="shared" si="14"/>
        <v>14.8</v>
      </c>
      <c r="H37" s="1">
        <f t="shared" si="14"/>
        <v>13.5</v>
      </c>
      <c r="I37" s="1">
        <f t="shared" si="14"/>
        <v>15.4</v>
      </c>
      <c r="J37" s="1">
        <f t="shared" si="14"/>
        <v>18.8</v>
      </c>
      <c r="K37" s="1">
        <f t="shared" ref="K37:M37" si="15">IF(K6&gt;K$2,K6,K$2)</f>
        <v>28</v>
      </c>
      <c r="L37" s="1">
        <f t="shared" si="15"/>
        <v>28</v>
      </c>
      <c r="M37" s="1">
        <f t="shared" si="15"/>
        <v>28</v>
      </c>
    </row>
    <row r="38" spans="1:16" s="2" customFormat="1" ht="11.25" customHeight="1" x14ac:dyDescent="0.2">
      <c r="A38" s="1" t="s">
        <v>2</v>
      </c>
      <c r="B38" s="1">
        <f t="shared" ref="B38:D38" si="16">IF(B7&gt;B$2,B7,B$2)</f>
        <v>28</v>
      </c>
      <c r="C38" s="1">
        <f t="shared" si="16"/>
        <v>28</v>
      </c>
      <c r="D38" s="1">
        <f t="shared" si="16"/>
        <v>28</v>
      </c>
      <c r="E38" s="1">
        <f t="shared" ref="E38:J38" si="17">E7</f>
        <v>14.6</v>
      </c>
      <c r="F38" s="1">
        <f t="shared" si="17"/>
        <v>11.2</v>
      </c>
      <c r="G38" s="1">
        <f t="shared" si="17"/>
        <v>9</v>
      </c>
      <c r="H38" s="1">
        <f t="shared" si="17"/>
        <v>8.1999999999999993</v>
      </c>
      <c r="I38" s="1">
        <f t="shared" si="17"/>
        <v>9.5</v>
      </c>
      <c r="J38" s="1">
        <f t="shared" si="17"/>
        <v>11.9</v>
      </c>
      <c r="K38" s="1">
        <f t="shared" ref="K38:M38" si="18">IF(K7&gt;K$2,K7,K$2)</f>
        <v>28</v>
      </c>
      <c r="L38" s="1">
        <f t="shared" si="18"/>
        <v>28</v>
      </c>
      <c r="M38" s="1">
        <f t="shared" si="18"/>
        <v>28</v>
      </c>
    </row>
    <row r="39" spans="1:16" s="2" customFormat="1" ht="11.25" customHeight="1" x14ac:dyDescent="0.2">
      <c r="A39" s="1" t="s">
        <v>5</v>
      </c>
      <c r="B39" s="1">
        <f t="shared" ref="B39:D39" si="19">IF(B8&gt;B$2,B8,B$2)</f>
        <v>28</v>
      </c>
      <c r="C39" s="1">
        <f t="shared" si="19"/>
        <v>28</v>
      </c>
      <c r="D39" s="1">
        <f t="shared" si="19"/>
        <v>28</v>
      </c>
      <c r="E39" s="1">
        <f t="shared" ref="E39:J39" si="20">E8</f>
        <v>17.899999999999999</v>
      </c>
      <c r="F39" s="1">
        <f t="shared" si="20"/>
        <v>15.2</v>
      </c>
      <c r="G39" s="1">
        <f t="shared" si="20"/>
        <v>13.3</v>
      </c>
      <c r="H39" s="1">
        <f t="shared" si="20"/>
        <v>11.9</v>
      </c>
      <c r="I39" s="1">
        <f t="shared" si="20"/>
        <v>12.6</v>
      </c>
      <c r="J39" s="1">
        <f t="shared" si="20"/>
        <v>14.5</v>
      </c>
      <c r="K39" s="1">
        <f t="shared" ref="K39:M39" si="21">IF(K8&gt;K$2,K8,K$2)</f>
        <v>28</v>
      </c>
      <c r="L39" s="1">
        <f t="shared" si="21"/>
        <v>28</v>
      </c>
      <c r="M39" s="1">
        <f t="shared" si="21"/>
        <v>28</v>
      </c>
    </row>
    <row r="40" spans="1:16" s="2" customFormat="1" ht="11.25" customHeight="1" x14ac:dyDescent="0.2">
      <c r="A40" s="1" t="s">
        <v>6</v>
      </c>
      <c r="B40" s="1">
        <f t="shared" ref="B40:D40" si="22">IF(B9&gt;B$2,B9,B$2)</f>
        <v>28</v>
      </c>
      <c r="C40" s="1">
        <f t="shared" si="22"/>
        <v>28</v>
      </c>
      <c r="D40" s="1">
        <f t="shared" si="22"/>
        <v>28</v>
      </c>
      <c r="E40" s="1">
        <f t="shared" ref="E40:J40" si="23">E9</f>
        <v>18.399999999999999</v>
      </c>
      <c r="F40" s="1">
        <f t="shared" si="23"/>
        <v>14.3</v>
      </c>
      <c r="G40" s="1">
        <f t="shared" si="23"/>
        <v>12</v>
      </c>
      <c r="H40" s="1">
        <f t="shared" si="23"/>
        <v>10.9</v>
      </c>
      <c r="I40" s="1">
        <f t="shared" si="23"/>
        <v>12.5</v>
      </c>
      <c r="J40" s="1">
        <f t="shared" si="23"/>
        <v>15.4</v>
      </c>
      <c r="K40" s="1">
        <f t="shared" ref="K40:M40" si="24">IF(K9&gt;K$2,K9,K$2)</f>
        <v>28</v>
      </c>
      <c r="L40" s="1">
        <f t="shared" si="24"/>
        <v>28</v>
      </c>
      <c r="M40" s="1">
        <f t="shared" si="24"/>
        <v>28</v>
      </c>
    </row>
    <row r="41" spans="1:16" s="2" customFormat="1" ht="11.25" customHeight="1" x14ac:dyDescent="0.2">
      <c r="A41" s="20" t="s">
        <v>61</v>
      </c>
      <c r="B41" s="1">
        <f t="shared" ref="B41:D41" si="25">IF(B10&gt;B$2,B10,B$2)</f>
        <v>28</v>
      </c>
      <c r="C41" s="1">
        <f t="shared" si="25"/>
        <v>28</v>
      </c>
      <c r="D41" s="1">
        <f t="shared" si="25"/>
        <v>28</v>
      </c>
      <c r="E41" s="1">
        <f t="shared" ref="E41:J41" si="26">E10</f>
        <v>23.5</v>
      </c>
      <c r="F41" s="1">
        <f t="shared" si="26"/>
        <v>20.6</v>
      </c>
      <c r="G41" s="1">
        <f t="shared" si="26"/>
        <v>17.8</v>
      </c>
      <c r="H41" s="1">
        <f t="shared" si="26"/>
        <v>16.5</v>
      </c>
      <c r="I41" s="1">
        <f t="shared" si="26"/>
        <v>18.399999999999999</v>
      </c>
      <c r="J41" s="1">
        <f t="shared" si="26"/>
        <v>21.8</v>
      </c>
      <c r="K41" s="1">
        <f t="shared" ref="K41:M41" si="27">IF(K10&gt;K$2,K10,K$2)</f>
        <v>28</v>
      </c>
      <c r="L41" s="1">
        <f t="shared" si="27"/>
        <v>28</v>
      </c>
      <c r="M41" s="1">
        <f t="shared" si="27"/>
        <v>28</v>
      </c>
    </row>
    <row r="42" spans="1:16" s="2" customFormat="1" ht="11.25" customHeight="1" x14ac:dyDescent="0.2">
      <c r="A42" s="19" t="s">
        <v>98</v>
      </c>
      <c r="B42" s="1">
        <f t="shared" ref="B42:D42" si="28">IF(B11&gt;B$2,B11,B$2)</f>
        <v>28</v>
      </c>
      <c r="C42" s="1">
        <f t="shared" si="28"/>
        <v>28</v>
      </c>
      <c r="D42" s="1">
        <f t="shared" si="28"/>
        <v>28</v>
      </c>
      <c r="E42" s="1">
        <f t="shared" ref="E42:J42" si="29">E11</f>
        <v>14</v>
      </c>
      <c r="F42" s="1">
        <f t="shared" si="29"/>
        <v>11</v>
      </c>
      <c r="G42" s="1">
        <f t="shared" si="29"/>
        <v>9</v>
      </c>
      <c r="H42" s="1">
        <f t="shared" si="29"/>
        <v>8</v>
      </c>
      <c r="I42" s="1">
        <f t="shared" si="29"/>
        <v>10</v>
      </c>
      <c r="J42" s="1">
        <f t="shared" si="29"/>
        <v>11</v>
      </c>
      <c r="K42" s="1">
        <f t="shared" ref="K42:M42" si="30">IF(K11&gt;K$2,K11,K$2)</f>
        <v>28</v>
      </c>
      <c r="L42" s="1">
        <f t="shared" si="30"/>
        <v>28</v>
      </c>
      <c r="M42" s="1">
        <f t="shared" si="30"/>
        <v>28</v>
      </c>
    </row>
    <row r="43" spans="1:16" s="2" customFormat="1" ht="11.25" customHeight="1" x14ac:dyDescent="0.2">
      <c r="A43" s="22" t="s">
        <v>72</v>
      </c>
      <c r="B43" s="31">
        <f>IF(Calculation!$D$26="Extended Season",VLOOKUP(Calculation!$D$8,$A$20:B$26,B3+1,FALSE),IF(Calculation!$D$26="All Year Round",VLOOKUP(Calculation!$D$8,Temperatures!$A$28:B$34,B3+1,FALSE),VLOOKUP(Calculation!$D$8,$A$36:B$42,B3+1,FALSE)))</f>
        <v>28</v>
      </c>
      <c r="C43" s="31">
        <f>IF(Calculation!$D$26="Extended Season",VLOOKUP(Calculation!$D$8,$A$20:C$26,C3+1,FALSE),IF(Calculation!$D$26="All Year Round",VLOOKUP(Calculation!$D$8,Temperatures!$A$28:C$34,C3+1,FALSE),VLOOKUP(Calculation!$D$8,$A$36:C$42,C3+1,FALSE)))</f>
        <v>28</v>
      </c>
      <c r="D43" s="31">
        <f>IF(Calculation!$D$26="Extended Season",VLOOKUP(Calculation!$D$8,$A$20:D$26,D3+1,FALSE),IF(Calculation!$D$26="All Year Round",VLOOKUP(Calculation!$D$8,Temperatures!$A$28:D$34,D3+1,FALSE),VLOOKUP(Calculation!$D$8,$A$36:D$42,D3+1,FALSE)))</f>
        <v>28</v>
      </c>
      <c r="E43" s="31">
        <f>IF(Calculation!$D$26="Extended Season",VLOOKUP(Calculation!$D$8,$A$20:E$26,E3+1,FALSE),IF(Calculation!$D$26="All Year Round",VLOOKUP(Calculation!$D$8,Temperatures!$A$28:E$34,E3+1,FALSE),VLOOKUP(Calculation!$D$8,$A$36:E$42,E3+1,FALSE)))</f>
        <v>28</v>
      </c>
      <c r="F43" s="31">
        <f>IF(Calculation!$D$26="Extended Season",VLOOKUP(Calculation!$D$8,$A$20:F$26,F3+1,FALSE),IF(Calculation!$D$26="All Year Round",VLOOKUP(Calculation!$D$8,Temperatures!$A$28:F$34,F3+1,FALSE),VLOOKUP(Calculation!$D$8,$A$36:F$42,F3+1,FALSE)))</f>
        <v>28</v>
      </c>
      <c r="G43" s="31">
        <f>IF(Calculation!$D$26="Extended Season",VLOOKUP(Calculation!$D$8,$A$20:G$26,G3+1,FALSE),IF(Calculation!$D$26="All Year Round",VLOOKUP(Calculation!$D$8,Temperatures!$A$28:G$34,G3+1,FALSE),VLOOKUP(Calculation!$D$8,$A$36:G$42,G3+1,FALSE)))</f>
        <v>28</v>
      </c>
      <c r="H43" s="31">
        <f>IF(Calculation!$D$26="Extended Season",VLOOKUP(Calculation!$D$8,$A$20:H$26,H3+1,FALSE),IF(Calculation!$D$26="All Year Round",VLOOKUP(Calculation!$D$8,Temperatures!$A$28:H$34,H3+1,FALSE),VLOOKUP(Calculation!$D$8,$A$36:H$42,H3+1,FALSE)))</f>
        <v>28</v>
      </c>
      <c r="I43" s="31">
        <f>IF(Calculation!$D$26="Extended Season",VLOOKUP(Calculation!$D$8,$A$20:I$26,I3+1,FALSE),IF(Calculation!$D$26="All Year Round",VLOOKUP(Calculation!$D$8,Temperatures!$A$28:I$34,I3+1,FALSE),VLOOKUP(Calculation!$D$8,$A$36:I$42,I3+1,FALSE)))</f>
        <v>28</v>
      </c>
      <c r="J43" s="31">
        <f>IF(Calculation!$D$26="Extended Season",VLOOKUP(Calculation!$D$8,$A$20:J$26,J3+1,FALSE),IF(Calculation!$D$26="All Year Round",VLOOKUP(Calculation!$D$8,Temperatures!$A$28:J$34,J3+1,FALSE),VLOOKUP(Calculation!$D$8,$A$36:J$42,J3+1,FALSE)))</f>
        <v>28</v>
      </c>
      <c r="K43" s="31">
        <f>IF(Calculation!$D$26="Extended Season",VLOOKUP(Calculation!$D$8,$A$20:K$26,K3+1,FALSE),IF(Calculation!$D$26="All Year Round",VLOOKUP(Calculation!$D$8,Temperatures!$A$28:K$34,K3+1,FALSE),VLOOKUP(Calculation!$D$8,$A$36:K$42,K3+1,FALSE)))</f>
        <v>28</v>
      </c>
      <c r="L43" s="31">
        <f>IF(Calculation!$D$26="Extended Season",VLOOKUP(Calculation!$D$8,$A$20:L$26,L3+1,FALSE),IF(Calculation!$D$26="All Year Round",VLOOKUP(Calculation!$D$8,Temperatures!$A$28:L$34,L3+1,FALSE),VLOOKUP(Calculation!$D$8,$A$36:L$42,L3+1,FALSE)))</f>
        <v>28</v>
      </c>
      <c r="M43" s="31">
        <f>IF(Calculation!$D$26="Extended Season",VLOOKUP(Calculation!$D$8,$A$20:M$26,M3+1,FALSE),IF(Calculation!$D$26="All Year Round",VLOOKUP(Calculation!$D$8,Temperatures!$A$28:M$34,M3+1,FALSE),VLOOKUP(Calculation!$D$8,$A$36:M$42,M3+1,FALSE)))</f>
        <v>28</v>
      </c>
    </row>
    <row r="44" spans="1:16" s="2" customFormat="1" ht="11.25" customHeight="1" x14ac:dyDescent="0.2"/>
    <row r="45" spans="1:16" s="2" customFormat="1" ht="11.25" customHeight="1" x14ac:dyDescent="0.2">
      <c r="A45" s="64"/>
    </row>
    <row r="46" spans="1:16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6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9" spans="2:5" x14ac:dyDescent="0.2">
      <c r="C49" s="3" t="s">
        <v>58</v>
      </c>
    </row>
    <row r="50" spans="2:5" x14ac:dyDescent="0.2">
      <c r="C50" t="s">
        <v>56</v>
      </c>
      <c r="D50" t="s">
        <v>57</v>
      </c>
    </row>
    <row r="51" spans="2:5" x14ac:dyDescent="0.2">
      <c r="B51" s="21" t="s">
        <v>42</v>
      </c>
      <c r="C51" s="5">
        <f>Calculation!H65*31</f>
        <v>357.94583999999986</v>
      </c>
      <c r="D51" s="5">
        <f>Calculation!I65*31</f>
        <v>214.76750399999989</v>
      </c>
    </row>
    <row r="52" spans="2:5" x14ac:dyDescent="0.2">
      <c r="B52" s="21" t="s">
        <v>43</v>
      </c>
      <c r="C52" s="5">
        <f>Calculation!H66*28</f>
        <v>335.58336000000003</v>
      </c>
      <c r="D52" s="5">
        <f>Calculation!I66*31</f>
        <v>222.92323200000001</v>
      </c>
    </row>
    <row r="53" spans="2:5" x14ac:dyDescent="0.2">
      <c r="B53" s="21" t="s">
        <v>44</v>
      </c>
      <c r="C53" s="5">
        <f>Calculation!H67*31</f>
        <v>471.21983999999986</v>
      </c>
      <c r="D53" s="5">
        <f>Calculation!I67*31</f>
        <v>282.73190399999993</v>
      </c>
    </row>
    <row r="54" spans="2:5" x14ac:dyDescent="0.2">
      <c r="B54" s="21" t="s">
        <v>45</v>
      </c>
      <c r="C54" s="5">
        <f>Calculation!H68*30</f>
        <v>587.56319999999994</v>
      </c>
      <c r="D54" s="5">
        <f>Calculation!I68*31</f>
        <v>364.28918399999998</v>
      </c>
    </row>
    <row r="55" spans="2:5" x14ac:dyDescent="0.2">
      <c r="B55" s="21" t="s">
        <v>46</v>
      </c>
      <c r="C55" s="5">
        <f>Calculation!H69*31</f>
        <v>951.50160000000005</v>
      </c>
      <c r="D55" s="5">
        <f>Calculation!I69*31</f>
        <v>570.90095999999994</v>
      </c>
    </row>
    <row r="56" spans="2:5" x14ac:dyDescent="0.2">
      <c r="B56" s="21" t="s">
        <v>47</v>
      </c>
      <c r="C56" s="5">
        <f>Calculation!H70*30</f>
        <v>1041.3899999999999</v>
      </c>
      <c r="D56" s="5">
        <f>Calculation!I70*31</f>
        <v>645.66179999999986</v>
      </c>
    </row>
    <row r="57" spans="2:5" x14ac:dyDescent="0.2">
      <c r="B57" s="21" t="s">
        <v>48</v>
      </c>
      <c r="C57" s="5">
        <f>Calculation!H71*31</f>
        <v>1121.4125999999999</v>
      </c>
      <c r="D57" s="5">
        <f>Calculation!I71*31</f>
        <v>672.84755999999993</v>
      </c>
    </row>
    <row r="58" spans="2:5" x14ac:dyDescent="0.2">
      <c r="B58" s="21" t="s">
        <v>49</v>
      </c>
      <c r="C58" s="5">
        <f>Calculation!H72*31</f>
        <v>1047.7844999999998</v>
      </c>
      <c r="D58" s="5">
        <f>Calculation!I72*31</f>
        <v>628.67069999999978</v>
      </c>
    </row>
    <row r="59" spans="2:5" x14ac:dyDescent="0.2">
      <c r="B59" s="21" t="s">
        <v>50</v>
      </c>
      <c r="C59" s="5">
        <f>Calculation!H73*31</f>
        <v>911.85569999999984</v>
      </c>
      <c r="D59" s="5">
        <f>Calculation!I73*31</f>
        <v>547.11341999999991</v>
      </c>
      <c r="E59" s="21" t="s">
        <v>64</v>
      </c>
    </row>
    <row r="60" spans="2:5" x14ac:dyDescent="0.2">
      <c r="B60" s="21" t="s">
        <v>51</v>
      </c>
      <c r="C60" s="5">
        <f>Calculation!H74*30</f>
        <v>587.56319999999994</v>
      </c>
      <c r="D60" s="5">
        <f>Calculation!I74*31</f>
        <v>364.28918399999998</v>
      </c>
    </row>
    <row r="61" spans="2:5" x14ac:dyDescent="0.2">
      <c r="B61" s="21" t="s">
        <v>52</v>
      </c>
      <c r="C61" s="5">
        <f>Calculation!H75*31</f>
        <v>521.06039999999996</v>
      </c>
      <c r="D61" s="5">
        <f>Calculation!I75*31</f>
        <v>312.63623999999999</v>
      </c>
    </row>
    <row r="62" spans="2:5" x14ac:dyDescent="0.2">
      <c r="B62" s="21" t="s">
        <v>53</v>
      </c>
      <c r="C62" s="5">
        <f>Calculation!H76*31</f>
        <v>430.44119999999998</v>
      </c>
      <c r="D62" s="5">
        <f>Calculation!I76*31</f>
        <v>258.26471999999995</v>
      </c>
    </row>
  </sheetData>
  <sheetProtection algorithmName="SHA-512" hashValue="UntKS4LoR5dIhi8zIvmT+dvdcW7yKuVTaXKlWgVYNKRrL2W4zrSlaBkdzoaiOJygkXwD72Gi/O8usToc9T4V6Q==" saltValue="2t8Ss9dNiryQRZNqW1bXhg==" spinCount="100000" sheet="1" objects="1" scenarios="1"/>
  <mergeCells count="1">
    <mergeCell ref="N3:N4"/>
  </mergeCells>
  <phoneticPr fontId="2" type="noConversion"/>
  <dataValidations count="1">
    <dataValidation type="list" allowBlank="1" showInputMessage="1" showErrorMessage="1" sqref="A5 A20 A28 A36">
      <formula1>"Adelaide, Brisbane, Melbourne, Perth, Sydney, FNQ Coast"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workbookViewId="0">
      <selection activeCell="D11" sqref="D11"/>
    </sheetView>
  </sheetViews>
  <sheetFormatPr defaultColWidth="8.7109375" defaultRowHeight="12.75" x14ac:dyDescent="0.2"/>
  <cols>
    <col min="1" max="1" width="10.85546875" customWidth="1"/>
    <col min="2" max="3" width="18.28515625" bestFit="1" customWidth="1"/>
    <col min="4" max="4" width="17" bestFit="1" customWidth="1"/>
    <col min="5" max="5" width="15.7109375" bestFit="1" customWidth="1"/>
    <col min="6" max="6" width="85" bestFit="1" customWidth="1"/>
    <col min="7" max="7" width="8.85546875" bestFit="1" customWidth="1"/>
    <col min="8" max="9" width="18.28515625" bestFit="1" customWidth="1"/>
    <col min="10" max="10" width="17" bestFit="1" customWidth="1"/>
    <col min="11" max="11" width="15.7109375" bestFit="1" customWidth="1"/>
    <col min="12" max="12" width="80.85546875" bestFit="1" customWidth="1"/>
  </cols>
  <sheetData>
    <row r="1" spans="1:12" x14ac:dyDescent="0.2">
      <c r="A1" s="90" t="s">
        <v>86</v>
      </c>
      <c r="B1" s="91">
        <f>MAX(Calculation!H27:H38)*33%/12</f>
        <v>47.371500000000005</v>
      </c>
      <c r="G1" s="88" t="s">
        <v>86</v>
      </c>
      <c r="H1" s="89">
        <f>MAX(Calculation!$I$27:$I$38)*33%/12</f>
        <v>28.422899999999998</v>
      </c>
    </row>
    <row r="3" spans="1:12" ht="19.5" customHeight="1" x14ac:dyDescent="0.2">
      <c r="A3" s="35"/>
      <c r="B3" s="112" t="s">
        <v>85</v>
      </c>
      <c r="C3" s="113"/>
      <c r="D3" s="113"/>
      <c r="E3" s="113"/>
      <c r="F3" s="114"/>
      <c r="G3" s="35"/>
      <c r="H3" s="115" t="s">
        <v>89</v>
      </c>
      <c r="I3" s="116"/>
      <c r="J3" s="116"/>
      <c r="K3" s="116"/>
      <c r="L3" s="117"/>
    </row>
    <row r="4" spans="1:12" x14ac:dyDescent="0.2">
      <c r="A4" s="81"/>
      <c r="B4" s="76" t="s">
        <v>67</v>
      </c>
      <c r="C4" s="77" t="s">
        <v>68</v>
      </c>
      <c r="D4" s="77" t="s">
        <v>65</v>
      </c>
      <c r="E4" s="77" t="s">
        <v>66</v>
      </c>
      <c r="F4" s="75"/>
      <c r="G4" s="35"/>
      <c r="H4" s="84" t="s">
        <v>67</v>
      </c>
      <c r="I4" s="77" t="s">
        <v>68</v>
      </c>
      <c r="J4" s="77" t="s">
        <v>65</v>
      </c>
      <c r="K4" s="77" t="s">
        <v>66</v>
      </c>
      <c r="L4" s="85"/>
    </row>
    <row r="5" spans="1:12" x14ac:dyDescent="0.2">
      <c r="A5" s="82" t="s">
        <v>16</v>
      </c>
      <c r="B5" s="78" t="s">
        <v>19</v>
      </c>
      <c r="C5" s="79" t="s">
        <v>20</v>
      </c>
      <c r="D5" s="79"/>
      <c r="E5" s="79"/>
      <c r="F5" s="79" t="s">
        <v>15</v>
      </c>
      <c r="G5" s="83" t="s">
        <v>16</v>
      </c>
      <c r="H5" s="86" t="s">
        <v>19</v>
      </c>
      <c r="I5" s="79" t="s">
        <v>20</v>
      </c>
      <c r="J5" s="79"/>
      <c r="K5" s="79"/>
      <c r="L5" s="87" t="s">
        <v>15</v>
      </c>
    </row>
    <row r="6" spans="1:12" x14ac:dyDescent="0.2">
      <c r="A6" s="93" t="s">
        <v>17</v>
      </c>
      <c r="B6" s="100">
        <f>8.8/12*13</f>
        <v>9.533333333333335</v>
      </c>
      <c r="C6" s="100">
        <f>B6</f>
        <v>9.533333333333335</v>
      </c>
      <c r="D6" s="80">
        <f>IF($B$1&lt;B6,1,0)</f>
        <v>0</v>
      </c>
      <c r="E6" s="80">
        <f>IF($B$1&lt;C6,1,0)</f>
        <v>0</v>
      </c>
      <c r="F6" s="77" t="s">
        <v>114</v>
      </c>
      <c r="G6" s="96" t="s">
        <v>17</v>
      </c>
      <c r="H6" s="100">
        <f>B6</f>
        <v>9.533333333333335</v>
      </c>
      <c r="I6" s="100">
        <f>B6</f>
        <v>9.533333333333335</v>
      </c>
      <c r="J6" s="80">
        <f>IF($H$1&lt;H6,1,0)</f>
        <v>0</v>
      </c>
      <c r="K6" s="80">
        <f>IF($H$1&lt;I6,1,0)</f>
        <v>0</v>
      </c>
      <c r="L6" s="77" t="s">
        <v>114</v>
      </c>
    </row>
    <row r="7" spans="1:12" x14ac:dyDescent="0.2">
      <c r="A7" s="94" t="s">
        <v>17</v>
      </c>
      <c r="B7" s="101">
        <f>12.6/12*13</f>
        <v>13.65</v>
      </c>
      <c r="C7" s="100">
        <f t="shared" ref="C7:C18" si="0">B7</f>
        <v>13.65</v>
      </c>
      <c r="D7" s="80">
        <f>IF(SUM(D6:D$6)=1,0,IF($B$1&lt;B7,1,0))</f>
        <v>0</v>
      </c>
      <c r="E7" s="80">
        <f>IF(SUM(E6:E$6)=1,0,IF($B$1&lt;C7,1,0))</f>
        <v>0</v>
      </c>
      <c r="F7" s="77" t="s">
        <v>115</v>
      </c>
      <c r="G7" s="97" t="s">
        <v>17</v>
      </c>
      <c r="H7" s="100">
        <f t="shared" ref="H7:H18" si="1">B7</f>
        <v>13.65</v>
      </c>
      <c r="I7" s="100">
        <f t="shared" ref="I7:I18" si="2">B7</f>
        <v>13.65</v>
      </c>
      <c r="J7" s="80">
        <f>IF(SUM(J6:J$6)=1,0,IF($H$1&lt;H7,1,0))</f>
        <v>0</v>
      </c>
      <c r="K7" s="80">
        <f>IF(SUM(K6:K$6)=1,0,IF($H$1&lt;I7,1,0))</f>
        <v>0</v>
      </c>
      <c r="L7" s="77" t="s">
        <v>115</v>
      </c>
    </row>
    <row r="8" spans="1:12" x14ac:dyDescent="0.2">
      <c r="A8" s="94" t="s">
        <v>17</v>
      </c>
      <c r="B8" s="101">
        <f>B7</f>
        <v>13.65</v>
      </c>
      <c r="C8" s="100">
        <f t="shared" si="0"/>
        <v>13.65</v>
      </c>
      <c r="D8" s="80">
        <v>0</v>
      </c>
      <c r="E8" s="80">
        <v>0</v>
      </c>
      <c r="F8" s="77" t="s">
        <v>115</v>
      </c>
      <c r="G8" s="97" t="s">
        <v>17</v>
      </c>
      <c r="H8" s="100">
        <f t="shared" si="1"/>
        <v>13.65</v>
      </c>
      <c r="I8" s="100">
        <f t="shared" si="2"/>
        <v>13.65</v>
      </c>
      <c r="J8" s="80">
        <v>0</v>
      </c>
      <c r="K8" s="80">
        <v>0</v>
      </c>
      <c r="L8" s="77" t="s">
        <v>115</v>
      </c>
    </row>
    <row r="9" spans="1:12" x14ac:dyDescent="0.2">
      <c r="A9" s="93" t="s">
        <v>17</v>
      </c>
      <c r="B9" s="100">
        <f>17/12*13</f>
        <v>18.416666666666668</v>
      </c>
      <c r="C9" s="100">
        <f t="shared" si="0"/>
        <v>18.416666666666668</v>
      </c>
      <c r="D9" s="80">
        <f>IF(SUM(D$6:D7)=1,0,IF($B$1&lt;B9,1,0))</f>
        <v>0</v>
      </c>
      <c r="E9" s="80">
        <f>IF(SUM(E$6:E7)=1,0,IF($B$1&lt;C9,1,0))</f>
        <v>0</v>
      </c>
      <c r="F9" s="77" t="s">
        <v>116</v>
      </c>
      <c r="G9" s="96" t="s">
        <v>17</v>
      </c>
      <c r="H9" s="100">
        <f t="shared" si="1"/>
        <v>18.416666666666668</v>
      </c>
      <c r="I9" s="100">
        <f t="shared" si="2"/>
        <v>18.416666666666668</v>
      </c>
      <c r="J9" s="80">
        <f>IF(SUM(J$6:J7)=1,0,IF($H$1&lt;H9,1,0))</f>
        <v>0</v>
      </c>
      <c r="K9" s="80">
        <f>IF(SUM(K$6:K7)=1,0,IF($H$1&lt;I9,1,0))</f>
        <v>0</v>
      </c>
      <c r="L9" s="77" t="s">
        <v>116</v>
      </c>
    </row>
    <row r="10" spans="1:12" x14ac:dyDescent="0.2">
      <c r="A10" s="93" t="s">
        <v>17</v>
      </c>
      <c r="B10" s="100">
        <f>19.5/12*13</f>
        <v>21.125</v>
      </c>
      <c r="C10" s="100">
        <f t="shared" si="0"/>
        <v>21.125</v>
      </c>
      <c r="D10" s="80">
        <f>IF(SUM(D$6:D9)=1,0,IF($B$1&lt;B10,1,0))</f>
        <v>0</v>
      </c>
      <c r="E10" s="80">
        <f>IF(SUM(E$6:E9)=1,0,IF($B$1&lt;C10,1,0))</f>
        <v>0</v>
      </c>
      <c r="F10" s="77" t="s">
        <v>117</v>
      </c>
      <c r="G10" s="96" t="s">
        <v>17</v>
      </c>
      <c r="H10" s="100">
        <f t="shared" si="1"/>
        <v>21.125</v>
      </c>
      <c r="I10" s="100">
        <f t="shared" si="2"/>
        <v>21.125</v>
      </c>
      <c r="J10" s="80">
        <f>IF(SUM(J$6:J9)=1,0,IF($H$1&lt;H10,1,0))</f>
        <v>0</v>
      </c>
      <c r="K10" s="80">
        <f>IF(SUM(K$6:K9)=1,0,IF($H$1&lt;I10,1,0))</f>
        <v>0</v>
      </c>
      <c r="L10" s="77" t="s">
        <v>117</v>
      </c>
    </row>
    <row r="11" spans="1:12" x14ac:dyDescent="0.2">
      <c r="A11" s="93" t="s">
        <v>17</v>
      </c>
      <c r="B11" s="100">
        <f>24.2/12*13</f>
        <v>26.216666666666665</v>
      </c>
      <c r="C11" s="100">
        <f t="shared" si="0"/>
        <v>26.216666666666665</v>
      </c>
      <c r="D11" s="80">
        <f>IF(SUM(D$6:D10)=1,0,IF($B$1&lt;B11,1,0))</f>
        <v>0</v>
      </c>
      <c r="E11" s="80">
        <f>IF(SUM(E$6:E10)=1,0,IF($B$1&lt;C11,1,0))</f>
        <v>0</v>
      </c>
      <c r="F11" s="77" t="s">
        <v>118</v>
      </c>
      <c r="G11" s="84" t="s">
        <v>17</v>
      </c>
      <c r="H11" s="100">
        <f t="shared" si="1"/>
        <v>26.216666666666665</v>
      </c>
      <c r="I11" s="100">
        <f t="shared" si="2"/>
        <v>26.216666666666665</v>
      </c>
      <c r="J11" s="80">
        <f>IF(SUM(J$6:J10)=1,0,IF($H$1&lt;H11,1,0))</f>
        <v>0</v>
      </c>
      <c r="K11" s="80">
        <f>IF(SUM(K$6:K10)=1,0,IF($H$1&lt;I11,1,0))</f>
        <v>0</v>
      </c>
      <c r="L11" s="77" t="s">
        <v>118</v>
      </c>
    </row>
    <row r="12" spans="1:12" x14ac:dyDescent="0.2">
      <c r="A12" s="93" t="s">
        <v>18</v>
      </c>
      <c r="B12" s="100">
        <f>28.3/12*13</f>
        <v>30.658333333333335</v>
      </c>
      <c r="C12" s="100">
        <f t="shared" si="0"/>
        <v>30.658333333333335</v>
      </c>
      <c r="D12" s="80">
        <f>IF(SUM(D$6:D10)=1,0,IF($B$1&lt;B12,1,0))</f>
        <v>0</v>
      </c>
      <c r="E12" s="80">
        <f>IF(SUM(E$6:E10)=1,0,IF($B$1&lt;C12,1,0))</f>
        <v>0</v>
      </c>
      <c r="F12" s="77" t="s">
        <v>119</v>
      </c>
      <c r="G12" s="96" t="s">
        <v>18</v>
      </c>
      <c r="H12" s="100">
        <f t="shared" si="1"/>
        <v>30.658333333333335</v>
      </c>
      <c r="I12" s="100">
        <f t="shared" si="2"/>
        <v>30.658333333333335</v>
      </c>
      <c r="J12" s="80">
        <f>IF(SUM(J$6:J10)=1,0,IF($H$1&lt;H12,1,0))</f>
        <v>1</v>
      </c>
      <c r="K12" s="80">
        <f>IF(SUM(K$6:K10)=1,0,IF($H$1&lt;I12,1,0))</f>
        <v>1</v>
      </c>
      <c r="L12" s="77" t="s">
        <v>119</v>
      </c>
    </row>
    <row r="13" spans="1:12" x14ac:dyDescent="0.2">
      <c r="A13" s="93" t="s">
        <v>18</v>
      </c>
      <c r="B13" s="100">
        <f>ROUND(47/12*13,1)</f>
        <v>50.9</v>
      </c>
      <c r="C13" s="100">
        <f t="shared" si="0"/>
        <v>50.9</v>
      </c>
      <c r="D13" s="80">
        <f>IF(SUM(D$6:D11)=1,0,IF($B$1&lt;B13,1,0))</f>
        <v>1</v>
      </c>
      <c r="E13" s="80">
        <f>IF(SUM(E$6:E11)=1,0,IF($B$1&lt;C13,1,0))</f>
        <v>1</v>
      </c>
      <c r="F13" s="77" t="s">
        <v>110</v>
      </c>
      <c r="G13" s="96" t="s">
        <v>18</v>
      </c>
      <c r="H13" s="100">
        <f t="shared" si="1"/>
        <v>50.9</v>
      </c>
      <c r="I13" s="100">
        <f t="shared" si="2"/>
        <v>50.9</v>
      </c>
      <c r="J13" s="80">
        <f>IF(SUM(J$6:J11)=1,0,IF($H$1&lt;H13,1,0))</f>
        <v>1</v>
      </c>
      <c r="K13" s="80">
        <f>IF(SUM(K$6:K11)=1,0,IF($H$1&lt;I13,1,0))</f>
        <v>1</v>
      </c>
      <c r="L13" s="77" t="s">
        <v>110</v>
      </c>
    </row>
    <row r="14" spans="1:12" x14ac:dyDescent="0.2">
      <c r="A14" s="93" t="s">
        <v>18</v>
      </c>
      <c r="B14" s="100">
        <f>ROUND(58/12*13,1)</f>
        <v>62.8</v>
      </c>
      <c r="C14" s="100">
        <f t="shared" si="0"/>
        <v>62.8</v>
      </c>
      <c r="D14" s="80">
        <f>IF(SUM(D$6:D13)=1,0,IF($B$1&lt;B14,1,0))</f>
        <v>0</v>
      </c>
      <c r="E14" s="80">
        <f>IF(SUM(E$6:E13)=1,0,IF($B$1&lt;C14,1,0))</f>
        <v>0</v>
      </c>
      <c r="F14" s="77" t="s">
        <v>105</v>
      </c>
      <c r="G14" s="96" t="s">
        <v>18</v>
      </c>
      <c r="H14" s="100">
        <f t="shared" si="1"/>
        <v>62.8</v>
      </c>
      <c r="I14" s="100">
        <f t="shared" si="2"/>
        <v>62.8</v>
      </c>
      <c r="J14" s="80">
        <f>IF(SUM(J$6:J13)=1,0,IF($H$1&lt;H14,1,0))</f>
        <v>1</v>
      </c>
      <c r="K14" s="80">
        <f>IF(SUM(K$6:K13)=1,0,IF($H$1&lt;I14,1,0))</f>
        <v>1</v>
      </c>
      <c r="L14" s="77" t="s">
        <v>105</v>
      </c>
    </row>
    <row r="15" spans="1:12" x14ac:dyDescent="0.2">
      <c r="A15" s="76" t="s">
        <v>18</v>
      </c>
      <c r="B15" s="102">
        <f>ROUND(95/12*13,1)</f>
        <v>102.9</v>
      </c>
      <c r="C15" s="100">
        <f t="shared" si="0"/>
        <v>102.9</v>
      </c>
      <c r="D15" s="80">
        <f>IF(SUM(D$6:D14)=1,0,IF($B$1&lt;B15,1,0))</f>
        <v>0</v>
      </c>
      <c r="E15" s="80">
        <f>IF(SUM(E$6:E14)=1,0,IF($B$1&lt;C15,1,0))</f>
        <v>0</v>
      </c>
      <c r="F15" s="77" t="s">
        <v>106</v>
      </c>
      <c r="G15" s="84" t="s">
        <v>18</v>
      </c>
      <c r="H15" s="100">
        <f t="shared" si="1"/>
        <v>102.9</v>
      </c>
      <c r="I15" s="100">
        <f t="shared" si="2"/>
        <v>102.9</v>
      </c>
      <c r="J15" s="80">
        <f>IF(SUM(J$6:J14)=1,0,IF($H$1&lt;H15,1,0))</f>
        <v>1</v>
      </c>
      <c r="K15" s="80">
        <f>IF(SUM(K$6:K14)=1,0,IF($H$1&lt;I15,1,0))</f>
        <v>1</v>
      </c>
      <c r="L15" s="77" t="s">
        <v>106</v>
      </c>
    </row>
    <row r="16" spans="1:12" x14ac:dyDescent="0.2">
      <c r="A16" s="76" t="s">
        <v>18</v>
      </c>
      <c r="B16" s="102">
        <f>ROUND(120/12*13,1)</f>
        <v>130</v>
      </c>
      <c r="C16" s="100">
        <f t="shared" si="0"/>
        <v>130</v>
      </c>
      <c r="D16" s="80">
        <f>IF(SUM(D$6:D15)=1,0,IF($B$1&lt;B16,1,0))</f>
        <v>0</v>
      </c>
      <c r="E16" s="80">
        <f>IF(SUM(E$6:E15)=1,0,IF($B$1&lt;C16,1,0))</f>
        <v>0</v>
      </c>
      <c r="F16" s="77" t="s">
        <v>107</v>
      </c>
      <c r="G16" s="84" t="s">
        <v>18</v>
      </c>
      <c r="H16" s="100">
        <f t="shared" si="1"/>
        <v>130</v>
      </c>
      <c r="I16" s="100">
        <f t="shared" si="2"/>
        <v>130</v>
      </c>
      <c r="J16" s="80">
        <f>IF(SUM(J$6:J15)=1,0,IF($H$1&lt;H16,1,0))</f>
        <v>1</v>
      </c>
      <c r="K16" s="80">
        <f>IF(SUM(K$6:K15)=1,0,IF($H$1&lt;I16,1,0))</f>
        <v>1</v>
      </c>
      <c r="L16" s="77" t="s">
        <v>107</v>
      </c>
    </row>
    <row r="17" spans="1:12" x14ac:dyDescent="0.2">
      <c r="A17" s="76" t="s">
        <v>18</v>
      </c>
      <c r="B17" s="102">
        <f>ROUND(145/12*13,1)</f>
        <v>157.1</v>
      </c>
      <c r="C17" s="100">
        <f t="shared" si="0"/>
        <v>157.1</v>
      </c>
      <c r="D17" s="80">
        <f>IF(SUM(D$6:D16)=1,0,IF($B$1&lt;B17,1,0))</f>
        <v>0</v>
      </c>
      <c r="E17" s="80">
        <f>IF(SUM(E$6:E16)=1,0,IF($B$1&lt;C17,1,0))</f>
        <v>0</v>
      </c>
      <c r="F17" s="77" t="s">
        <v>108</v>
      </c>
      <c r="G17" s="84" t="s">
        <v>18</v>
      </c>
      <c r="H17" s="100">
        <f t="shared" si="1"/>
        <v>157.1</v>
      </c>
      <c r="I17" s="100">
        <f t="shared" si="2"/>
        <v>157.1</v>
      </c>
      <c r="J17" s="80">
        <f>IF(SUM(J$6:J16)=1,0,IF($H$1&lt;H17,1,0))</f>
        <v>1</v>
      </c>
      <c r="K17" s="80">
        <f>IF(SUM(K$6:K16)=1,0,IF($H$1&lt;I17,1,0))</f>
        <v>1</v>
      </c>
      <c r="L17" s="77" t="s">
        <v>108</v>
      </c>
    </row>
    <row r="18" spans="1:12" x14ac:dyDescent="0.2">
      <c r="A18" s="76" t="s">
        <v>18</v>
      </c>
      <c r="B18" s="102">
        <f>ROUND(220/12*13,1)</f>
        <v>238.3</v>
      </c>
      <c r="C18" s="100">
        <f t="shared" si="0"/>
        <v>238.3</v>
      </c>
      <c r="D18" s="80">
        <f>IF(SUM(D$6:D17)=1,0,IF($B$1&lt;B18,1,0))</f>
        <v>0</v>
      </c>
      <c r="E18" s="80">
        <f>IF(SUM(E$6:E17)=1,0,IF($B$1&lt;C18,1,0))</f>
        <v>0</v>
      </c>
      <c r="F18" s="77" t="s">
        <v>109</v>
      </c>
      <c r="G18" s="84" t="s">
        <v>18</v>
      </c>
      <c r="H18" s="100">
        <f t="shared" si="1"/>
        <v>238.3</v>
      </c>
      <c r="I18" s="100">
        <f t="shared" si="2"/>
        <v>238.3</v>
      </c>
      <c r="J18" s="80">
        <f>IF(SUM(J$6:J17)=1,0,IF($H$1&lt;H18,1,0))</f>
        <v>1</v>
      </c>
      <c r="K18" s="80">
        <f>IF(SUM(K$6:K17)=1,0,IF($H$1&lt;I18,1,0))</f>
        <v>1</v>
      </c>
      <c r="L18" s="77" t="s">
        <v>109</v>
      </c>
    </row>
    <row r="19" spans="1:12" x14ac:dyDescent="0.2">
      <c r="A19" s="35"/>
      <c r="B19" s="35"/>
      <c r="C19" s="35"/>
      <c r="D19" s="72"/>
      <c r="E19" s="72"/>
      <c r="F19" s="35"/>
      <c r="H19" s="95"/>
      <c r="I19" s="95"/>
    </row>
    <row r="20" spans="1:12" x14ac:dyDescent="0.2">
      <c r="A20" s="35"/>
      <c r="B20" s="35"/>
      <c r="C20" s="35"/>
      <c r="D20" s="72"/>
      <c r="E20" s="72"/>
      <c r="F20" s="35"/>
    </row>
    <row r="21" spans="1:12" x14ac:dyDescent="0.2">
      <c r="A21" s="35"/>
      <c r="B21" s="35"/>
      <c r="C21" s="35"/>
      <c r="D21" s="72"/>
      <c r="E21" s="72"/>
      <c r="F21" s="35"/>
    </row>
    <row r="22" spans="1:12" x14ac:dyDescent="0.2">
      <c r="A22" s="35"/>
      <c r="B22" s="35"/>
      <c r="C22" s="35"/>
      <c r="D22" s="72"/>
      <c r="E22" s="72"/>
      <c r="F22" s="35"/>
    </row>
    <row r="23" spans="1:12" x14ac:dyDescent="0.2">
      <c r="A23" s="35"/>
      <c r="B23" s="35"/>
      <c r="C23" s="35"/>
      <c r="D23" s="35"/>
      <c r="E23" s="35"/>
      <c r="F23" s="35"/>
    </row>
    <row r="24" spans="1:12" x14ac:dyDescent="0.2">
      <c r="A24" s="35"/>
      <c r="B24" s="35"/>
      <c r="C24" s="35"/>
      <c r="D24" s="35"/>
      <c r="E24" s="35"/>
      <c r="F24" s="35"/>
    </row>
    <row r="25" spans="1:12" x14ac:dyDescent="0.2">
      <c r="A25" s="35"/>
      <c r="B25" s="35"/>
      <c r="C25" s="35"/>
      <c r="D25" s="35"/>
      <c r="E25" s="35"/>
      <c r="F25" s="92"/>
    </row>
    <row r="26" spans="1:12" x14ac:dyDescent="0.2">
      <c r="A26" s="35"/>
      <c r="B26" s="35"/>
      <c r="C26" s="35"/>
      <c r="D26" s="35"/>
      <c r="E26" s="35"/>
      <c r="F26" s="92"/>
    </row>
    <row r="27" spans="1:12" x14ac:dyDescent="0.2">
      <c r="A27" s="35"/>
      <c r="B27" s="35"/>
      <c r="C27" s="35"/>
      <c r="D27" s="35"/>
      <c r="E27" s="35"/>
      <c r="F27" s="92"/>
    </row>
    <row r="28" spans="1:12" x14ac:dyDescent="0.2">
      <c r="A28" s="35"/>
      <c r="B28" s="35"/>
      <c r="C28" s="35"/>
      <c r="D28" s="35"/>
      <c r="E28" s="35"/>
      <c r="F28" s="92"/>
    </row>
    <row r="29" spans="1:12" x14ac:dyDescent="0.2">
      <c r="A29" s="35"/>
      <c r="B29" s="35"/>
      <c r="C29" s="35"/>
      <c r="D29" s="35"/>
      <c r="E29" s="35"/>
      <c r="F29" s="92"/>
    </row>
    <row r="30" spans="1:12" x14ac:dyDescent="0.2">
      <c r="A30" s="35"/>
      <c r="B30" s="35"/>
      <c r="C30" s="35"/>
      <c r="D30" s="35"/>
      <c r="E30" s="35"/>
      <c r="F30" s="92"/>
    </row>
    <row r="31" spans="1:12" x14ac:dyDescent="0.2">
      <c r="A31" s="35"/>
      <c r="B31" s="35"/>
      <c r="C31" s="35"/>
      <c r="D31" s="35"/>
      <c r="E31" s="35"/>
    </row>
    <row r="32" spans="1:12" x14ac:dyDescent="0.2">
      <c r="A32" s="35"/>
      <c r="B32" s="35"/>
      <c r="C32" s="35"/>
      <c r="D32" s="35"/>
      <c r="E32" s="35"/>
      <c r="F32" s="92"/>
    </row>
    <row r="33" spans="1:6" x14ac:dyDescent="0.2">
      <c r="A33" s="35"/>
      <c r="B33" s="35"/>
      <c r="C33" s="35"/>
      <c r="D33" s="35"/>
      <c r="E33" s="35"/>
      <c r="F33" s="92"/>
    </row>
    <row r="34" spans="1:6" x14ac:dyDescent="0.2">
      <c r="A34" s="35"/>
      <c r="B34" s="35"/>
      <c r="C34" s="35"/>
      <c r="D34" s="35"/>
      <c r="E34" s="35"/>
      <c r="F34" s="92"/>
    </row>
    <row r="35" spans="1:6" x14ac:dyDescent="0.2">
      <c r="A35" s="35"/>
      <c r="B35" s="35"/>
      <c r="C35" s="35"/>
      <c r="D35" s="35"/>
      <c r="E35" s="35"/>
      <c r="F35" s="92"/>
    </row>
    <row r="36" spans="1:6" x14ac:dyDescent="0.2">
      <c r="A36" s="35"/>
      <c r="B36" s="35"/>
      <c r="C36" s="35"/>
      <c r="D36" s="35"/>
      <c r="E36" s="35"/>
      <c r="F36" s="92"/>
    </row>
    <row r="37" spans="1:6" x14ac:dyDescent="0.2">
      <c r="A37" s="2"/>
      <c r="B37" s="2"/>
      <c r="C37" s="2"/>
      <c r="D37" s="2"/>
      <c r="E37" s="2"/>
      <c r="F37" s="92"/>
    </row>
    <row r="38" spans="1:6" x14ac:dyDescent="0.2">
      <c r="F38" s="92"/>
    </row>
  </sheetData>
  <sheetProtection algorithmName="SHA-512" hashValue="P/0ro4xXpjVEr4jnEqj2Uzs2nCneChGdrYz7Te7t9oEz+HgLzTqD8yyZTSa92h3ZcED1AFLOuPTRQoi49CJRQw==" saltValue="CT3odLFq8nk11iR1x8QndA==" spinCount="100000" sheet="1" objects="1" scenarios="1"/>
  <mergeCells count="2">
    <mergeCell ref="B3:F3"/>
    <mergeCell ref="H3:L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workbookViewId="0">
      <selection activeCell="C13" sqref="C13"/>
    </sheetView>
  </sheetViews>
  <sheetFormatPr defaultColWidth="11.42578125" defaultRowHeight="12.75" x14ac:dyDescent="0.2"/>
  <cols>
    <col min="2" max="2" width="13.28515625" bestFit="1" customWidth="1"/>
    <col min="3" max="3" width="80.85546875" bestFit="1" customWidth="1"/>
  </cols>
  <sheetData>
    <row r="2" spans="2:4" x14ac:dyDescent="0.2">
      <c r="B2" s="6" t="s">
        <v>103</v>
      </c>
      <c r="C2" s="6" t="s">
        <v>104</v>
      </c>
      <c r="D2" s="6" t="s">
        <v>102</v>
      </c>
    </row>
    <row r="3" spans="2:4" x14ac:dyDescent="0.2">
      <c r="B3">
        <v>78566</v>
      </c>
      <c r="C3" s="77" t="s">
        <v>111</v>
      </c>
      <c r="D3" s="104">
        <v>3925</v>
      </c>
    </row>
    <row r="4" spans="2:4" x14ac:dyDescent="0.2">
      <c r="B4">
        <v>78567</v>
      </c>
      <c r="C4" s="77" t="s">
        <v>112</v>
      </c>
      <c r="D4" s="104">
        <v>4086</v>
      </c>
    </row>
    <row r="5" spans="2:4" x14ac:dyDescent="0.2">
      <c r="B5">
        <v>78568</v>
      </c>
      <c r="C5" s="77" t="s">
        <v>113</v>
      </c>
      <c r="D5" s="104">
        <v>4818</v>
      </c>
    </row>
    <row r="6" spans="2:4" x14ac:dyDescent="0.2">
      <c r="D6" s="105"/>
    </row>
    <row r="7" spans="2:4" x14ac:dyDescent="0.2">
      <c r="B7">
        <v>78542</v>
      </c>
      <c r="C7" s="77" t="s">
        <v>120</v>
      </c>
      <c r="D7" s="104">
        <v>6076</v>
      </c>
    </row>
    <row r="8" spans="2:4" x14ac:dyDescent="0.2">
      <c r="B8">
        <v>78543</v>
      </c>
      <c r="C8" s="77" t="s">
        <v>121</v>
      </c>
      <c r="D8" s="104">
        <v>7124</v>
      </c>
    </row>
    <row r="9" spans="2:4" x14ac:dyDescent="0.2">
      <c r="B9">
        <v>78544</v>
      </c>
      <c r="C9" s="77" t="s">
        <v>122</v>
      </c>
      <c r="D9" s="104">
        <v>9430</v>
      </c>
    </row>
    <row r="10" spans="2:4" x14ac:dyDescent="0.2">
      <c r="B10">
        <v>78545</v>
      </c>
      <c r="C10" s="77" t="s">
        <v>117</v>
      </c>
      <c r="D10" s="104">
        <v>10476</v>
      </c>
    </row>
    <row r="11" spans="2:4" x14ac:dyDescent="0.2">
      <c r="B11">
        <v>78546</v>
      </c>
      <c r="C11" s="77" t="s">
        <v>123</v>
      </c>
      <c r="D11" s="104">
        <v>12570</v>
      </c>
    </row>
    <row r="12" spans="2:4" x14ac:dyDescent="0.2">
      <c r="B12">
        <v>78547</v>
      </c>
      <c r="C12" s="77" t="s">
        <v>119</v>
      </c>
      <c r="D12" s="104">
        <v>13624</v>
      </c>
    </row>
    <row r="13" spans="2:4" x14ac:dyDescent="0.2">
      <c r="D13" s="105"/>
    </row>
    <row r="14" spans="2:4" x14ac:dyDescent="0.2">
      <c r="B14">
        <v>78560</v>
      </c>
      <c r="C14" t="s">
        <v>99</v>
      </c>
      <c r="D14" s="104">
        <v>7236</v>
      </c>
    </row>
    <row r="15" spans="2:4" x14ac:dyDescent="0.2">
      <c r="B15" s="21">
        <v>78561</v>
      </c>
      <c r="C15" t="s">
        <v>100</v>
      </c>
      <c r="D15" s="104">
        <v>9542</v>
      </c>
    </row>
    <row r="16" spans="2:4" x14ac:dyDescent="0.2">
      <c r="B16">
        <v>78562</v>
      </c>
      <c r="C16" t="s">
        <v>101</v>
      </c>
      <c r="D16" s="104">
        <v>12562</v>
      </c>
    </row>
    <row r="18" spans="2:4" x14ac:dyDescent="0.2">
      <c r="B18">
        <v>78550</v>
      </c>
      <c r="C18" s="77" t="s">
        <v>91</v>
      </c>
      <c r="D18" s="103">
        <v>19290</v>
      </c>
    </row>
    <row r="19" spans="2:4" x14ac:dyDescent="0.2">
      <c r="B19">
        <v>78551</v>
      </c>
      <c r="C19" s="77" t="s">
        <v>92</v>
      </c>
      <c r="D19" s="103">
        <v>21024</v>
      </c>
    </row>
    <row r="20" spans="2:4" x14ac:dyDescent="0.2">
      <c r="B20">
        <v>78552</v>
      </c>
      <c r="C20" s="77" t="s">
        <v>93</v>
      </c>
      <c r="D20" s="103">
        <v>29116</v>
      </c>
    </row>
    <row r="21" spans="2:4" x14ac:dyDescent="0.2">
      <c r="B21">
        <v>78553</v>
      </c>
      <c r="C21" s="77" t="s">
        <v>94</v>
      </c>
      <c r="D21" s="103">
        <v>38954</v>
      </c>
    </row>
    <row r="22" spans="2:4" x14ac:dyDescent="0.2">
      <c r="B22">
        <v>78554</v>
      </c>
      <c r="C22" s="77" t="s">
        <v>95</v>
      </c>
      <c r="D22" s="103">
        <v>48572</v>
      </c>
    </row>
    <row r="23" spans="2:4" x14ac:dyDescent="0.2">
      <c r="B23">
        <v>78555</v>
      </c>
      <c r="C23" s="77" t="s">
        <v>96</v>
      </c>
      <c r="D23" s="103">
        <v>60274</v>
      </c>
    </row>
  </sheetData>
  <sheetProtection algorithmName="SHA-512" hashValue="cGv5ZiyUlUq3yYhquWlrNebECW6uQGCaQbBTn2YmdyxXorCxDFvsPON4iLnTwj1cd3PFCZEW1c33csJ2PUs6wQ==" saltValue="qxfyDx+YrrQxVK96ntOhz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Calculation</vt:lpstr>
      <vt:lpstr>Temperatures</vt:lpstr>
      <vt:lpstr>Model selection</vt:lpstr>
      <vt:lpstr>Preus</vt:lpstr>
      <vt:lpstr>Calculation!Print_Area</vt:lpstr>
    </vt:vector>
  </TitlesOfParts>
  <Company>Track Right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pwallace</dc:creator>
  <cp:lastModifiedBy>Jason Bonello</cp:lastModifiedBy>
  <cp:lastPrinted>2012-06-23T02:07:22Z</cp:lastPrinted>
  <dcterms:created xsi:type="dcterms:W3CDTF">2009-06-25T23:37:34Z</dcterms:created>
  <dcterms:modified xsi:type="dcterms:W3CDTF">2019-02-14T00:21:40Z</dcterms:modified>
</cp:coreProperties>
</file>